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sheetId="4" r:id="rId1"/>
    <sheet name="المتغيرات" sheetId="3" r:id="rId2"/>
    <sheet name="Insurance Financials Search Rep" sheetId="2" r:id="rId3"/>
  </sheets>
  <calcPr calcId="162913"/>
</workbook>
</file>

<file path=xl/calcChain.xml><?xml version="1.0" encoding="utf-8"?>
<calcChain xmlns="http://schemas.openxmlformats.org/spreadsheetml/2006/main">
  <c r="I200" i="2" l="1"/>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<sst xmlns="http://schemas.openxmlformats.org/spreadsheetml/2006/main" count="342" uniqueCount="79">
  <si>
    <t>جدول رقم(31) : مخصص الأخطار السارية آخر العام (إجمالي التأمين العام)</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</si>
  <si>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</si>
  <si>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</si>
  <si>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</si>
  <si>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</si>
  <si>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</si>
  <si>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</si>
  <si>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</si>
  <si>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</si>
  <si>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</si>
  <si>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</si>
  <si>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</si>
  <si>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</si>
  <si>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</si>
  <si>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</si>
  <si>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</si>
  <si>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</si>
  <si>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</si>
  <si>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</si>
  <si>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</si>
  <si>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</si>
  <si>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</si>
  <si>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</si>
  <si>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</si>
  <si>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</si>
  <si>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</si>
  <si>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</si>
  <si>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رقم(32) : مخصص الأخطار السارية آخر العام (النقل)</t>
  </si>
  <si>
    <t>جدول رقم(33) : مخصص الأخطار السارية آخر العام (الممتلكات)</t>
  </si>
  <si>
    <t>جدول رقم(34) : مخصص الأخطار السارية آخر العام (المركبات الشامل)</t>
  </si>
  <si>
    <t>جدول رقم(35) : مخصص الأخطار السارية آخر العام (المركبات الطرف الثالث)</t>
  </si>
  <si>
    <t>جدول رقم(36) : مخصص الأخطار السارية آخر العام (المسؤولية)</t>
  </si>
  <si>
    <t>جدول رقم(37) : مخصص الأخطار السارية آخر العام (الهندسي)</t>
  </si>
  <si>
    <t>جدول رقم(38) : مخصص الأخطار السارية آخر العام (الصحي)</t>
  </si>
  <si>
    <t>جدول رقم(39) : مخصص الأخطار السارية آخر العام (الأخرى)</t>
  </si>
  <si>
    <t>مخصص الأخطار السارية آخر العام (المجموع التأمين العام والصحي)</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</si>
  <si>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</si>
  <si>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</si>
  <si>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</si>
  <si>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</si>
  <si>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</si>
  <si>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</si>
  <si>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</si>
  <si>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</si>
  <si>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</si>
  <si>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</si>
  <si>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</si>
  <si>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</si>
  <si>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</si>
  <si>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</si>
  <si>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</si>
  <si>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</si>
  <si>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</si>
  <si>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</si>
  <si>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</si>
  <si>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</si>
  <si>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</si>
  <si>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</si>
  <si>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</si>
  <si>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</si>
  <si>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</si>
  <si>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</si>
  <si>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</si>
  <si>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</si>
  <si>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</si>
  <si>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</si>
  <si>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t>
  </si>
  <si>
    <t>اسم المتغير</t>
  </si>
  <si>
    <t>وصف المتغير</t>
  </si>
  <si>
    <t>نوع البيانات</t>
  </si>
  <si>
    <t>مستوى الإلزامية(إجباري/ اختياري)</t>
  </si>
  <si>
    <t>اسم شركة التأمين</t>
  </si>
  <si>
    <t>نص</t>
  </si>
  <si>
    <t>إلزامي</t>
  </si>
  <si>
    <t>رقم</t>
  </si>
  <si>
    <t>مخصص الأخطار السارية آخر العام</t>
  </si>
  <si>
    <t>إجمالي الوارد</t>
  </si>
  <si>
    <t>إجمالي الصادر</t>
  </si>
  <si>
    <t>الصافي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</si>
</sst>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b/>
      <sz val="12"/>
      <color rgb="FF000000"/>
      <name val="Arial"/>
      <family val="2"/>
      <scheme val="minor"/>
    </font>
    <font>
      <sz val="12"/>
      <color rgb="FF000000"/>
      <name val="Arial"/>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4472C4"/>
        <bgColor rgb="FF000000"/>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17" fillId="35" borderId="10" xfId="34" applyFill="1" applyBorder="1" applyAlignment="1">
      <alignment horizontal="center" vertical="center" wrapText="1" readingOrder="2"/>
    </xf>
    <xf numFmtId="0" fontId="0" fillId="0" borderId="11" xfId="0" applyBorder="1" applyAlignment="1">
      <alignment vertical="center" wrapText="1" readingOrder="2"/>
    </xf>
    <xf numFmtId="14" fontId="0" fillId="0" borderId="11" xfId="0" applyNumberFormat="1" applyBorder="1" applyAlignment="1">
      <alignment vertical="center" wrapText="1" readingOrder="1"/>
    </xf>
    <xf numFmtId="0" fontId="0" fillId="0" borderId="11" xfId="0" applyBorder="1" applyAlignment="1">
      <alignment vertical="center" wrapText="1" readingOrder="1"/>
    </xf>
    <xf numFmtId="0" fontId="22" fillId="0" borderId="10" xfId="0" applyFont="1" applyBorder="1" applyAlignment="1">
      <alignment horizontal="center" vertical="center" wrapText="1" readingOrder="2"/>
    </xf>
    <xf numFmtId="0" fontId="23" fillId="0" borderId="10"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4" sqref="B4"/>
    </sheetView>
  </sheetViews>
  <sheetFormatPr defaultRowHeight="14" x14ac:dyDescent="0.3"/>
  <cols>
    <col min="1" max="1" width="30.58203125" customWidth="1"/>
    <col min="2" max="2" width="55.58203125" customWidth="1"/>
  </cols>
  <sheetData>
    <row r="1" spans="1:2" x14ac:dyDescent="0.3">
      <c r="A1" s="6" t="s">
        <v>36</v>
      </c>
      <c r="B1" s="6" t="s">
        <v>75</v>
      </c>
    </row>
    <row r="2" spans="1:2" ht="56" x14ac:dyDescent="0.3">
      <c r="A2" s="7" t="s">
        <v>37</v>
      </c>
      <c r="B2" s="7" t="s">
        <v>38</v>
      </c>
    </row>
    <row r="3" spans="1:2" x14ac:dyDescent="0.3">
      <c r="A3" s="7" t="s">
        <v>39</v>
      </c>
      <c r="B3" s="7" t="s">
        <v>40</v>
      </c>
    </row>
    <row r="4" spans="1:2" x14ac:dyDescent="0.3">
      <c r="A4" s="7" t="s">
        <v>41</v>
      </c>
      <c r="B4" s="7" t="s">
        <v>42</v>
      </c>
    </row>
    <row r="5" spans="1:2" ht="28" x14ac:dyDescent="0.3">
      <c r="A5" s="7" t="s">
        <v>43</v>
      </c>
      <c r="B5" s="7" t="s">
        <v>44</v>
      </c>
    </row>
    <row r="6" spans="1:2" x14ac:dyDescent="0.3">
      <c r="A6" s="7" t="s">
        <v>45</v>
      </c>
      <c r="B6" s="8">
        <v>44568</v>
      </c>
    </row>
    <row r="7" spans="1:2" x14ac:dyDescent="0.3">
      <c r="A7" s="7" t="s">
        <v>46</v>
      </c>
      <c r="B7" s="7" t="s">
        <v>47</v>
      </c>
    </row>
    <row r="8" spans="1:2" x14ac:dyDescent="0.3">
      <c r="A8" s="7" t="s">
        <v>48</v>
      </c>
      <c r="B8" s="7" t="s">
        <v>49</v>
      </c>
    </row>
    <row r="9" spans="1:2" x14ac:dyDescent="0.3">
      <c r="A9" s="7" t="s">
        <v>50</v>
      </c>
      <c r="B9" s="9" t="s">
        <v>51</v>
      </c>
    </row>
    <row r="10" spans="1:2" x14ac:dyDescent="0.3">
      <c r="A10" s="7" t="s">
        <v>52</v>
      </c>
      <c r="B10" s="9" t="s">
        <v>53</v>
      </c>
    </row>
    <row r="11" spans="1:2" x14ac:dyDescent="0.3">
      <c r="A11" s="7" t="s">
        <v>54</v>
      </c>
      <c r="B11" s="9" t="s">
        <v>55</v>
      </c>
    </row>
    <row r="12" spans="1:2" x14ac:dyDescent="0.3">
      <c r="A12" s="7" t="s">
        <v>56</v>
      </c>
      <c r="B12" s="9" t="s">
        <v>57</v>
      </c>
    </row>
    <row r="13" spans="1:2" x14ac:dyDescent="0.3">
      <c r="A13" s="7" t="s">
        <v>58</v>
      </c>
      <c r="B13" s="7" t="s">
        <v>59</v>
      </c>
    </row>
    <row r="14" spans="1:2" ht="42" x14ac:dyDescent="0.3">
      <c r="A14" s="7" t="s">
        <v>60</v>
      </c>
      <c r="B14" s="7" t="s">
        <v>61</v>
      </c>
    </row>
    <row r="15" spans="1:2" x14ac:dyDescent="0.3">
      <c r="A15" s="7" t="s">
        <v>62</v>
      </c>
      <c r="B15" s="7" t="s">
        <v>63</v>
      </c>
    </row>
    <row r="16" spans="1:2" x14ac:dyDescent="0.3">
      <c r="A16" s="7" t="s">
        <v>64</v>
      </c>
      <c r="B16" s="7" t="s">
        <v>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E15" sqref="E15"/>
    </sheetView>
  </sheetViews>
  <sheetFormatPr defaultRowHeight="14" x14ac:dyDescent="0.3"/>
  <cols>
    <col min="2" max="2" width="26.9140625" customWidth="1"/>
    <col min="3" max="3" width="38.33203125" customWidth="1"/>
    <col min="4" max="4" width="15" customWidth="1"/>
    <col min="5" max="5" width="25" customWidth="1"/>
  </cols>
  <sheetData>
    <row r="1" spans="1:5" ht="28" x14ac:dyDescent="0.3">
      <c r="A1" s="6" t="s">
        <v>66</v>
      </c>
      <c r="B1" s="6" t="s">
        <v>67</v>
      </c>
      <c r="C1" s="6" t="s">
        <v>68</v>
      </c>
      <c r="D1" s="6" t="s">
        <v>69</v>
      </c>
      <c r="E1" s="6" t="s">
        <v>70</v>
      </c>
    </row>
    <row r="2" spans="1:5" ht="15.5" x14ac:dyDescent="0.3">
      <c r="A2" s="10">
        <v>1</v>
      </c>
      <c r="B2" s="11" t="s">
        <v>1</v>
      </c>
      <c r="C2" s="11" t="s">
        <v>71</v>
      </c>
      <c r="D2" s="11" t="s">
        <v>72</v>
      </c>
      <c r="E2" s="11" t="s">
        <v>73</v>
      </c>
    </row>
    <row r="3" spans="1:5" ht="15.5" x14ac:dyDescent="0.3">
      <c r="A3" s="10">
        <v>2</v>
      </c>
      <c r="B3" s="11" t="s">
        <v>2</v>
      </c>
      <c r="C3" s="11" t="s">
        <v>2</v>
      </c>
      <c r="D3" s="11" t="s">
        <v>74</v>
      </c>
      <c r="E3" s="11" t="s">
        <v>73</v>
      </c>
    </row>
    <row r="4" spans="1:5" ht="15.5" x14ac:dyDescent="0.3">
      <c r="A4" s="10">
        <v>3</v>
      </c>
      <c r="B4" s="11" t="s">
        <v>3</v>
      </c>
      <c r="C4" s="11" t="s">
        <v>3</v>
      </c>
      <c r="D4" s="11" t="s">
        <v>74</v>
      </c>
      <c r="E4" s="11" t="s">
        <v>73</v>
      </c>
    </row>
    <row r="5" spans="1:5" ht="15.5" x14ac:dyDescent="0.3">
      <c r="A5" s="10">
        <v>4</v>
      </c>
      <c r="B5" s="11" t="s">
        <v>4</v>
      </c>
      <c r="C5" s="11" t="s">
        <v>4</v>
      </c>
      <c r="D5" s="11" t="s">
        <v>74</v>
      </c>
      <c r="E5" s="11" t="s">
        <v>73</v>
      </c>
    </row>
    <row r="6" spans="1:5" ht="15.5" x14ac:dyDescent="0.3">
      <c r="A6" s="10">
        <v>5</v>
      </c>
      <c r="B6" s="11" t="s">
        <v>76</v>
      </c>
      <c r="C6" s="11" t="s">
        <v>76</v>
      </c>
      <c r="D6" s="11" t="s">
        <v>74</v>
      </c>
      <c r="E6" s="11" t="s">
        <v>73</v>
      </c>
    </row>
    <row r="7" spans="1:5" ht="15.5" x14ac:dyDescent="0.3">
      <c r="A7" s="10">
        <v>6</v>
      </c>
      <c r="B7" s="11" t="s">
        <v>6</v>
      </c>
      <c r="C7" s="11" t="s">
        <v>6</v>
      </c>
      <c r="D7" s="11" t="s">
        <v>74</v>
      </c>
      <c r="E7" s="11" t="s">
        <v>73</v>
      </c>
    </row>
    <row r="8" spans="1:5" ht="15.5" x14ac:dyDescent="0.3">
      <c r="A8" s="10">
        <v>7</v>
      </c>
      <c r="B8" s="11" t="s">
        <v>7</v>
      </c>
      <c r="C8" s="11" t="s">
        <v>7</v>
      </c>
      <c r="D8" s="11" t="s">
        <v>74</v>
      </c>
      <c r="E8" s="11" t="s">
        <v>73</v>
      </c>
    </row>
    <row r="9" spans="1:5" ht="15.5" x14ac:dyDescent="0.3">
      <c r="A9" s="10">
        <v>8</v>
      </c>
      <c r="B9" s="11" t="s">
        <v>77</v>
      </c>
      <c r="C9" s="11" t="s">
        <v>77</v>
      </c>
      <c r="D9" s="11" t="s">
        <v>74</v>
      </c>
      <c r="E9" s="11" t="s">
        <v>73</v>
      </c>
    </row>
    <row r="10" spans="1:5" ht="15.5" x14ac:dyDescent="0.3">
      <c r="A10" s="10">
        <v>9</v>
      </c>
      <c r="B10" s="11" t="s">
        <v>78</v>
      </c>
      <c r="C10" s="11" t="s">
        <v>78</v>
      </c>
      <c r="D10" s="11" t="s">
        <v>74</v>
      </c>
      <c r="E10" s="11" t="s">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rightToLeft="1" topLeftCell="A10" workbookViewId="0">
      <selection activeCell="I2" sqref="I2"/>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(156712+2502325+(2061166+3117940)+673186+586474+8038104)</f>
        <v>17135907</v>
      </c>
      <c r="C4" s="3">
        <f t="shared" ref="C4:D6" si="0">(0+0+(0+0)+0+0+0)</f>
        <v>0</v>
      </c>
      <c r="D4" s="3">
        <f t="shared" si="0"/>
        <v>0</v>
      </c>
      <c r="E4" s="3">
        <f>((156712+2502325+(2061166+3117940)+673186+586474+8038104)+(0+0+(0+0)+0+0+0)+(0+0+(0+0)+0+0+0))</f>
        <v>17135907</v>
      </c>
      <c r="F4" s="3">
        <f>(311+223782+(0+0)+0+14462+48785)</f>
        <v>287340</v>
      </c>
      <c r="G4" s="3">
        <f>(105550+1796485+(151416+95222)+465220+312319+7560046)</f>
        <v>10486258</v>
      </c>
      <c r="H4" s="3">
        <f>((311+223782+(0+0)+0+14462+48785)+(105550+1796485+(151416+95222)+465220+312319+7560046))</f>
        <v>10773598</v>
      </c>
      <c r="I4" s="3">
        <f>(((156712+2502325+(2061166+3117940)+673186+586474+8038104)+(0+0+(0+0)+0+0+0)+(0+0+(0+0)+0+0+0))-((311+223782+(0+0)+0+14462+48785)+(105550+1796485+(151416+95222)+465220+312319+7560046)))</f>
        <v>6362309</v>
      </c>
    </row>
    <row r="5" spans="1:9" ht="14" x14ac:dyDescent="0.3">
      <c r="A5" s="2" t="s">
        <v>11</v>
      </c>
      <c r="B5" s="3">
        <f>(0+0+(0+0)+0+0+206894)</f>
        <v>206894</v>
      </c>
      <c r="C5" s="3">
        <f t="shared" si="0"/>
        <v>0</v>
      </c>
      <c r="D5" s="3">
        <f t="shared" si="0"/>
        <v>0</v>
      </c>
      <c r="E5" s="3">
        <f>((0+0+(0+0)+0+0+206894)+(0+0+(0+0)+0+0+0)+(0+0+(0+0)+0+0+0))</f>
        <v>206894</v>
      </c>
      <c r="F5" s="3">
        <f>(0+0+(0+0)+0+0+0)</f>
        <v>0</v>
      </c>
      <c r="G5" s="3">
        <f>(0+0+(0+0)+0+0+6559)</f>
        <v>6559</v>
      </c>
      <c r="H5" s="3">
        <f>((0+0+(0+0)+0+0+0)+(0+0+(0+0)+0+0+6559))</f>
        <v>6559</v>
      </c>
      <c r="I5" s="3">
        <f>(((0+0+(0+0)+0+0+206894)+(0+0+(0+0)+0+0+0)+(0+0+(0+0)+0+0+0))-((0+0+(0+0)+0+0+0)+(0+0+(0+0)+0+0+6559)))</f>
        <v>200335</v>
      </c>
    </row>
    <row r="6" spans="1:9" ht="14" x14ac:dyDescent="0.3">
      <c r="A6" s="2" t="s">
        <v>12</v>
      </c>
      <c r="B6" s="3">
        <f>(393573+2604530+(3692830+4307504)+342245+2628791+1570562)</f>
        <v>15540035</v>
      </c>
      <c r="C6" s="3">
        <f t="shared" si="0"/>
        <v>0</v>
      </c>
      <c r="D6" s="3">
        <f t="shared" si="0"/>
        <v>0</v>
      </c>
      <c r="E6" s="3">
        <f>((393573+2604530+(3692830+4307504)+342245+2628791+1570562)+(0+0+(0+0)+0+0+0)+(0+0+(0+0)+0+0+0))</f>
        <v>15540035</v>
      </c>
      <c r="F6" s="3">
        <f>(80274+579964+(0+0)+0+187820+0)</f>
        <v>848058</v>
      </c>
      <c r="G6" s="3">
        <f>(289141+1933196+(1015581+920030)+296219+2405315+1082918)</f>
        <v>7942400</v>
      </c>
      <c r="H6" s="3">
        <f>((80274+579964+(0+0)+0+187820+0)+(289141+1933196+(1015581+920030)+296219+2405315+1082918))</f>
        <v>8790458</v>
      </c>
      <c r="I6" s="3">
        <f>(((393573+2604530+(3692830+4307504)+342245+2628791+1570562)+(0+0+(0+0)+0+0+0)+(0+0+(0+0)+0+0+0))-((80274+579964+(0+0)+0+187820+0)+(289141+1933196+(1015581+920030)+296219+2405315+1082918)))</f>
        <v>6749577</v>
      </c>
    </row>
    <row r="7" spans="1:9" ht="14" x14ac:dyDescent="0.3">
      <c r="A7" s="2" t="s">
        <v>13</v>
      </c>
      <c r="B7" s="3">
        <f>(119349+1104953+(1509794+1675231)+151625+336303+226454)</f>
        <v>5123709</v>
      </c>
      <c r="C7" s="3">
        <f>(24871+341060+(0+0)+0+100952+0)</f>
        <v>466883</v>
      </c>
      <c r="D7" s="3">
        <f>(0+0+(0+0)+0+0+0)</f>
        <v>0</v>
      </c>
      <c r="E7" s="3">
        <f>((119349+1104953+(1509794+1675231)+151625+336303+226454)+(24871+341060+(0+0)+0+100952+0)+(0+0+(0+0)+0+0+0))</f>
        <v>5590592</v>
      </c>
      <c r="F7" s="3">
        <f>(278+116083+(0+0)+116+8473+301)</f>
        <v>125251</v>
      </c>
      <c r="G7" s="3">
        <f>(0+184495+(0+0)+25132+20375+17420)</f>
        <v>247422</v>
      </c>
      <c r="H7" s="3">
        <f>((278+116083+(0+0)+116+8473+301)+(0+184495+(0+0)+25132+20375+17420))</f>
        <v>372673</v>
      </c>
      <c r="I7" s="3">
        <f>(((119349+1104953+(1509794+1675231)+151625+336303+226454)+(24871+341060+(0+0)+0+100952+0)+(0+0+(0+0)+0+0+0))-((278+116083+(0+0)+116+8473+301)+(0+184495+(0+0)+25132+20375+17420)))</f>
        <v>5217919</v>
      </c>
    </row>
    <row r="8" spans="1:9" ht="14" x14ac:dyDescent="0.3">
      <c r="A8" s="2" t="s">
        <v>14</v>
      </c>
      <c r="B8" s="3">
        <f>(0+0+(0+0)+0+0+0)</f>
        <v>0</v>
      </c>
      <c r="C8" s="3">
        <f>(0+0+(0+0)+0+0+0)</f>
        <v>0</v>
      </c>
      <c r="D8" s="3">
        <f>(0+0+(0+0)+0+0+0)</f>
        <v>0</v>
      </c>
      <c r="E8" s="3">
        <f>((0+0+(0+0)+0+0+0)+(0+0+(0+0)+0+0+0)+(0+0+(0+0)+0+0+0))</f>
        <v>0</v>
      </c>
      <c r="F8" s="3">
        <f>(0+0+(0+0)+0+0+0)</f>
        <v>0</v>
      </c>
      <c r="G8" s="3">
        <f>(0+0+(0+0)+0+0+0)</f>
        <v>0</v>
      </c>
      <c r="H8" s="3">
        <f>((0+0+(0+0)+0+0+0)+(0+0+(0+0)+0+0+0))</f>
        <v>0</v>
      </c>
      <c r="I8" s="3">
        <f>(((0+0+(0+0)+0+0+0)+(0+0+(0+0)+0+0+0)+(0+0+(0+0)+0+0+0))-((0+0+(0+0)+0+0+0)+(0+0+(0+0)+0+0+0)))</f>
        <v>0</v>
      </c>
    </row>
    <row r="9" spans="1:9" ht="14" x14ac:dyDescent="0.3">
      <c r="A9" s="2" t="s">
        <v>15</v>
      </c>
      <c r="B9" s="3">
        <f>(191688+3414972+(2008967+1939788)+2043264+3693747+408603)</f>
        <v>13701029</v>
      </c>
      <c r="C9" s="3">
        <f>(0+81236+(0+0)+0+0+0)</f>
        <v>81236</v>
      </c>
      <c r="D9" s="3">
        <f>(2063+2128+(0+0)+0+0+0)</f>
        <v>4191</v>
      </c>
      <c r="E9" s="3">
        <f>((191688+3414972+(2008967+1939788)+2043264+3693747+408603)+(0+81236+(0+0)+0+0+0)+(2063+2128+(0+0)+0+0+0))</f>
        <v>13786456</v>
      </c>
      <c r="F9" s="3">
        <f>(0+438652+(0+0)+830+0+0)</f>
        <v>439482</v>
      </c>
      <c r="G9" s="3">
        <f>(167455+2825995+(11430+0)+1937570+3517741+189337)</f>
        <v>8649528</v>
      </c>
      <c r="H9" s="3">
        <f>((0+438652+(0+0)+830+0+0)+(167455+2825995+(11430+0)+1937570+3517741+189337))</f>
        <v>9089010</v>
      </c>
      <c r="I9" s="3">
        <f>(((191688+3414972+(2008967+1939788)+2043264+3693747+408603)+(0+81236+(0+0)+0+0+0)+(2063+2128+(0+0)+0+0+0))-((0+438652+(0+0)+830+0+0)+(167455+2825995+(11430+0)+1937570+3517741+189337)))</f>
        <v>4697446</v>
      </c>
    </row>
    <row r="10" spans="1:9" ht="14" x14ac:dyDescent="0.3">
      <c r="A10" s="2" t="s">
        <v>16</v>
      </c>
      <c r="B10" s="3">
        <f>(2062+632316+(1589815+2351088)+201319+126416+31160)</f>
        <v>4934176</v>
      </c>
      <c r="C10" s="3">
        <f>(0+0+(0+0)+0+0+0)</f>
        <v>0</v>
      </c>
      <c r="D10" s="3">
        <f>(0+0+(0+0)+0+0+0)</f>
        <v>0</v>
      </c>
      <c r="E10" s="3">
        <f>((2062+632316+(1589815+2351088)+201319+126416+31160)+(0+0+(0+0)+0+0+0)+(0+0+(0+0)+0+0+0))</f>
        <v>4934176</v>
      </c>
      <c r="F10" s="3">
        <f>(151+51848+(0+0)+19604+10708+2233)</f>
        <v>84544</v>
      </c>
      <c r="G10" s="3">
        <f>(1292+444910+(0+0)+168222+91888+19155)</f>
        <v>725467</v>
      </c>
      <c r="H10" s="3">
        <f>((151+51848+(0+0)+19604+10708+2233)+(1292+444910+(0+0)+168222+91888+19155))</f>
        <v>810011</v>
      </c>
      <c r="I10" s="3">
        <f>(((2062+632316+(1589815+2351088)+201319+126416+31160)+(0+0+(0+0)+0+0+0)+(0+0+(0+0)+0+0+0))-((151+51848+(0+0)+19604+10708+2233)+(1292+444910+(0+0)+168222+91888+19155)))</f>
        <v>4124165</v>
      </c>
    </row>
    <row r="11" spans="1:9" ht="14" x14ac:dyDescent="0.3">
      <c r="A11" s="2" t="s">
        <v>17</v>
      </c>
      <c r="B11" s="3">
        <f>(12829+79441+(224949+734369)+2469+2412+12787)</f>
        <v>1069256</v>
      </c>
      <c r="C11" s="3">
        <f>(0+111442+(0+0)+0+4573+0)</f>
        <v>116015</v>
      </c>
      <c r="D11" s="3">
        <f>(0+0+(0+0)+0+0+0)</f>
        <v>0</v>
      </c>
      <c r="E11" s="3">
        <f>((12829+79441+(224949+734369)+2469+2412+12787)+(0+111442+(0+0)+0+4573+0)+(0+0+(0+0)+0+0+0))</f>
        <v>1185271</v>
      </c>
      <c r="F11" s="3">
        <f>(0+0+(0+0)+0+0+0)</f>
        <v>0</v>
      </c>
      <c r="G11" s="3">
        <f>(1864+22219+(0+0)+0+672+2960)</f>
        <v>27715</v>
      </c>
      <c r="H11" s="3">
        <f>((0+0+(0+0)+0+0+0)+(1864+22219+(0+0)+0+672+2960))</f>
        <v>27715</v>
      </c>
      <c r="I11" s="3">
        <f>(((12829+79441+(224949+734369)+2469+2412+12787)+(0+111442+(0+0)+0+4573+0)+(0+0+(0+0)+0+0+0))-((0+0+(0+0)+0+0+0)+(1864+22219+(0+0)+0+672+2960)))</f>
        <v>1157556</v>
      </c>
    </row>
    <row r="12" spans="1:9" ht="14" x14ac:dyDescent="0.3">
      <c r="A12" s="2" t="s">
        <v>18</v>
      </c>
      <c r="B12" s="3">
        <f>(8491+121754+(124977+27345)+20918+51525+7759)</f>
        <v>362769</v>
      </c>
      <c r="C12" s="3">
        <f>(0+19192+(0+0)+0+12019+0)</f>
        <v>31211</v>
      </c>
      <c r="D12" s="3">
        <f>(0+0+(0+0)+0+0+0)</f>
        <v>0</v>
      </c>
      <c r="E12" s="3">
        <f>((8491+121754+(124977+27345)+20918+51525+7759)+(0+19192+(0+0)+0+12019+0)+(0+0+(0+0)+0+0+0))</f>
        <v>393980</v>
      </c>
      <c r="F12" s="3">
        <f>(0+22520+(0+0)+0+7334+0)</f>
        <v>29854</v>
      </c>
      <c r="G12" s="3">
        <f>(6793+90755+(2608+18)+3100+44516+5742)</f>
        <v>153532</v>
      </c>
      <c r="H12" s="3">
        <f>((0+22520+(0+0)+0+7334+0)+(6793+90755+(2608+18)+3100+44516+5742))</f>
        <v>183386</v>
      </c>
      <c r="I12" s="3">
        <f>(((8491+121754+(124977+27345)+20918+51525+7759)+(0+19192+(0+0)+0+12019+0)+(0+0+(0+0)+0+0+0))-((0+22520+(0+0)+0+7334+0)+(6793+90755+(2608+18)+3100+44516+5742)))</f>
        <v>210594</v>
      </c>
    </row>
    <row r="13" spans="1:9" ht="14" x14ac:dyDescent="0.3">
      <c r="A13" s="2" t="s">
        <v>19</v>
      </c>
      <c r="B13" s="3">
        <f>(221910+1972564+(1419739+863108)+1392856+1299175+73319)</f>
        <v>7242671</v>
      </c>
      <c r="C13" s="3">
        <f>(0+0+(0+0)+0+0+0)</f>
        <v>0</v>
      </c>
      <c r="D13" s="3">
        <f>(0+0+(0+0)+0+0+0)</f>
        <v>0</v>
      </c>
      <c r="E13" s="3">
        <f>((221910+1972564+(1419739+863108)+1392856+1299175+73319)+(0+0+(0+0)+0+0+0)+(0+0+(0+0)+0+0+0))</f>
        <v>7242671</v>
      </c>
      <c r="F13" s="3">
        <f>(1530+12376+(0+0)+839+10648+3327)</f>
        <v>28720</v>
      </c>
      <c r="G13" s="3">
        <f>(178025+1799554+(383516+242053)+1337811+1170227+57032)</f>
        <v>5168218</v>
      </c>
      <c r="H13" s="3">
        <f>((1530+12376+(0+0)+839+10648+3327)+(178025+1799554+(383516+242053)+1337811+1170227+57032))</f>
        <v>5196938</v>
      </c>
      <c r="I13" s="3">
        <f>(((221910+1972564+(1419739+863108)+1392856+1299175+73319)+(0+0+(0+0)+0+0+0)+(0+0+(0+0)+0+0+0))-((1530+12376+(0+0)+839+10648+3327)+(178025+1799554+(383516+242053)+1337811+1170227+57032)))</f>
        <v>2045733</v>
      </c>
    </row>
    <row r="14" spans="1:9" ht="14" x14ac:dyDescent="0.3">
      <c r="A14" s="2" t="s">
        <v>20</v>
      </c>
      <c r="B14" s="3">
        <f>(134360+2393997+(143152+3137)+385731+297533+250955)</f>
        <v>3608865</v>
      </c>
      <c r="C14" s="3">
        <f>(0+36757+(0+0)+0+4656+0)</f>
        <v>41413</v>
      </c>
      <c r="D14" s="3">
        <f>(718+0+(0+0)+0+0+0)</f>
        <v>718</v>
      </c>
      <c r="E14" s="3">
        <f>((134360+2393997+(143152+3137)+385731+297533+250955)+(0+36757+(0+0)+0+4656+0)+(718+0+(0+0)+0+0+0))</f>
        <v>3650996</v>
      </c>
      <c r="F14" s="3">
        <f>(3176+911834+(0+0)+0+49979+0)</f>
        <v>964989</v>
      </c>
      <c r="G14" s="3">
        <f>(76538+1462597+(26659+0)+257806+254735+154587)</f>
        <v>2232922</v>
      </c>
      <c r="H14" s="3">
        <f>((3176+911834+(0+0)+0+49979+0)+(76538+1462597+(26659+0)+257806+254735+154587))</f>
        <v>3197911</v>
      </c>
      <c r="I14" s="3">
        <f>(((134360+2393997+(143152+3137)+385731+297533+250955)+(0+36757+(0+0)+0+4656+0)+(718+0+(0+0)+0+0+0))-((3176+911834+(0+0)+0+49979+0)+(76538+1462597+(26659+0)+257806+254735+154587)))</f>
        <v>453085</v>
      </c>
    </row>
    <row r="15" spans="1:9" ht="14" x14ac:dyDescent="0.3">
      <c r="A15" s="2" t="s">
        <v>21</v>
      </c>
      <c r="B15" s="3">
        <f>(0+0+(0+0)+0+0+0)</f>
        <v>0</v>
      </c>
      <c r="C15" s="3">
        <f>(0+0+(0+0)+0+0+0)</f>
        <v>0</v>
      </c>
      <c r="D15" s="3">
        <f>(0+0+(0+0)+0+0+0)</f>
        <v>0</v>
      </c>
      <c r="E15" s="3">
        <f>((0+0+(0+0)+0+0+0)+(0+0+(0+0)+0+0+0)+(0+0+(0+0)+0+0+0))</f>
        <v>0</v>
      </c>
      <c r="F15" s="3">
        <f>(0+0+(0+0)+0+0+0)</f>
        <v>0</v>
      </c>
      <c r="G15" s="3">
        <f>(0+0+(0+0)+0+0+0)</f>
        <v>0</v>
      </c>
      <c r="H15" s="3">
        <f>((0+0+(0+0)+0+0+0)+(0+0+(0+0)+0+0+0))</f>
        <v>0</v>
      </c>
      <c r="I15" s="3">
        <f>(((0+0+(0+0)+0+0+0)+(0+0+(0+0)+0+0+0)+(0+0+(0+0)+0+0+0))-((0+0+(0+0)+0+0+0)+(0+0+(0+0)+0+0+0)))</f>
        <v>0</v>
      </c>
    </row>
    <row r="16" spans="1:9" ht="14" x14ac:dyDescent="0.3">
      <c r="A16" s="2" t="s">
        <v>22</v>
      </c>
      <c r="B16" s="3">
        <f>(1158605+4577781+(5338855+3169269)+1801136+2230318+1691541)</f>
        <v>19967505</v>
      </c>
      <c r="C16" s="3">
        <f>(0+0+(0+0)+0+0+0)</f>
        <v>0</v>
      </c>
      <c r="D16" s="3">
        <f>(0+0+(0+0)+0+0+0)</f>
        <v>0</v>
      </c>
      <c r="E16" s="3">
        <f>((1158605+4577781+(5338855+3169269)+1801136+2230318+1691541)+(0+0+(0+0)+0+0+0)+(0+0+(0+0)+0+0+0))</f>
        <v>19967505</v>
      </c>
      <c r="F16" s="3">
        <f>(0+0+(0+0)+0+0+0)</f>
        <v>0</v>
      </c>
      <c r="G16" s="3">
        <f>(1126850+4378264+(0+0)+1360869+1865998+857335)</f>
        <v>9589316</v>
      </c>
      <c r="H16" s="3">
        <f>((0+0+(0+0)+0+0+0)+(1126850+4378264+(0+0)+1360869+1865998+857335))</f>
        <v>9589316</v>
      </c>
      <c r="I16" s="3">
        <f>(((1158605+4577781+(5338855+3169269)+1801136+2230318+1691541)+(0+0+(0+0)+0+0+0)+(0+0+(0+0)+0+0+0))-((0+0+(0+0)+0+0+0)+(1126850+4378264+(0+0)+1360869+1865998+857335)))</f>
        <v>10378189</v>
      </c>
    </row>
    <row r="17" spans="1:9" ht="14" x14ac:dyDescent="0.3">
      <c r="A17" s="2" t="s">
        <v>23</v>
      </c>
      <c r="B17" s="3">
        <f>(149712+2159015+(103154+0)+120463+282173+35130)</f>
        <v>2849647</v>
      </c>
      <c r="C17" s="3">
        <f>(0+1061859+(0+0)+0+8486+0)</f>
        <v>1070345</v>
      </c>
      <c r="D17" s="3">
        <f>(0+0+(0+0)+0+0+0)</f>
        <v>0</v>
      </c>
      <c r="E17" s="3">
        <f>((149712+2159015+(103154+0)+120463+282173+35130)+(0+1061859+(0+0)+0+8486+0)+(0+0+(0+0)+0+0+0))</f>
        <v>3919992</v>
      </c>
      <c r="F17" s="3">
        <f>(0+0+(0+0)+0+0+0)</f>
        <v>0</v>
      </c>
      <c r="G17" s="3">
        <f>(138380+3399047+(23607+0)+(-183855)+10817+17305)</f>
        <v>3405301</v>
      </c>
      <c r="H17" s="3">
        <f>((0+0+(0+0)+0+0+0)+(138380+3399047+(23607+0)+(-183855)+10817+17305))</f>
        <v>3405301</v>
      </c>
      <c r="I17" s="3">
        <f>(((149712+2159015+(103154+0)+120463+282173+35130)+(0+1061859+(0+0)+0+8486+0)+(0+0+(0+0)+0+0+0))-((0+0+(0+0)+0+0+0)+(138380+3399047+(23607+0)+(-183855)+10817+17305)))</f>
        <v>514691</v>
      </c>
    </row>
    <row r="18" spans="1:9" ht="14" x14ac:dyDescent="0.3">
      <c r="A18" s="2" t="s">
        <v>24</v>
      </c>
      <c r="B18" s="3">
        <f>(50186+462928+(2029046+1682048)+323895+336884+100494)</f>
        <v>4985481</v>
      </c>
      <c r="C18" s="3">
        <f>(0+0+(0+0)+0+0+0)</f>
        <v>0</v>
      </c>
      <c r="D18" s="3">
        <f>(0+0+(0+0)+0+0+0)</f>
        <v>0</v>
      </c>
      <c r="E18" s="3">
        <f>((50186+462928+(2029046+1682048)+323895+336884+100494)+(0+0+(0+0)+0+0+0)+(0+0+(0+0)+0+0+0))</f>
        <v>4985481</v>
      </c>
      <c r="F18" s="3">
        <f>(0+33800+(0+0)+0+8106+0)</f>
        <v>41906</v>
      </c>
      <c r="G18" s="3">
        <f>(46576+406886+(612279+504614)+276058+304062+89070)</f>
        <v>2239545</v>
      </c>
      <c r="H18" s="3">
        <f>((0+33800+(0+0)+0+8106+0)+(46576+406886+(612279+504614)+276058+304062+89070))</f>
        <v>2281451</v>
      </c>
      <c r="I18" s="3">
        <f>(((50186+462928+(2029046+1682048)+323895+336884+100494)+(0+0+(0+0)+0+0+0)+(0+0+(0+0)+0+0+0))-((0+33800+(0+0)+0+8106+0)+(46576+406886+(612279+504614)+276058+304062+89070)))</f>
        <v>2704030</v>
      </c>
    </row>
    <row r="19" spans="1:9" ht="14" x14ac:dyDescent="0.3">
      <c r="A19" s="2" t="s">
        <v>25</v>
      </c>
      <c r="B19" s="3">
        <f>(42458+2150010+(3528456+6404316)+170780+1273315+149604)</f>
        <v>13718939</v>
      </c>
      <c r="C19" s="3">
        <f>(0+0+(0+0)+0+0+0)</f>
        <v>0</v>
      </c>
      <c r="D19" s="3">
        <f>(0+0+(0+0)+0+0+0)</f>
        <v>0</v>
      </c>
      <c r="E19" s="3">
        <f>((42458+2150010+(3528456+6404316)+170780+1273315+149604)+(0+0+(0+0)+0+0+0)+(0+0+(0+0)+0+0+0))</f>
        <v>13718939</v>
      </c>
      <c r="F19" s="3">
        <f>(0+0+(0+0)+0+0+0)</f>
        <v>0</v>
      </c>
      <c r="G19" s="3">
        <f>(104889+1437825+(178726+0)+9629+438665+115866)</f>
        <v>2285600</v>
      </c>
      <c r="H19" s="3">
        <f>((0+0+(0+0)+0+0+0)+(104889+1437825+(178726+0)+9629+438665+115866))</f>
        <v>2285600</v>
      </c>
      <c r="I19" s="3">
        <f>(((42458+2150010+(3528456+6404316)+170780+1273315+149604)+(0+0+(0+0)+0+0+0)+(0+0+(0+0)+0+0+0))-((0+0+(0+0)+0+0+0)+(104889+1437825+(178726+0)+9629+438665+115866)))</f>
        <v>11433339</v>
      </c>
    </row>
    <row r="20" spans="1:9" ht="14" x14ac:dyDescent="0.3">
      <c r="A20" s="2" t="s">
        <v>26</v>
      </c>
      <c r="B20" s="3">
        <f>(82709+432264+(2887935+(-3333))+279607+245862+294985)</f>
        <v>4220029</v>
      </c>
      <c r="C20" s="3">
        <f>(7149+12510+(0+0)+0+10055+3989)</f>
        <v>33703</v>
      </c>
      <c r="D20" s="3">
        <f>(0+0+(0+0)+0+0+0)</f>
        <v>0</v>
      </c>
      <c r="E20" s="3">
        <f>((82709+432264+(2887935+(-3333))+279607+245862+294985)+(7149+12510+(0+0)+0+10055+3989)+(0+0+(0+0)+0+0+0))</f>
        <v>4253732</v>
      </c>
      <c r="F20" s="3">
        <f>(0+0+(0+0)+0+0+0)</f>
        <v>0</v>
      </c>
      <c r="G20" s="3">
        <f>(3377+178780+(826+0)+108308+138420+11427)</f>
        <v>441138</v>
      </c>
      <c r="H20" s="3">
        <f>((0+0+(0+0)+0+0+0)+(3377+178780+(826+0)+108308+138420+11427))</f>
        <v>441138</v>
      </c>
      <c r="I20" s="3">
        <f>(((82709+432264+(2887935+(-3333))+279607+245862+294985)+(7149+12510+(0+0)+0+10055+3989)+(0+0+(0+0)+0+0+0))-((0+0+(0+0)+0+0+0)+(3377+178780+(826+0)+108308+138420+11427)))</f>
        <v>3812594</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156712</f>
        <v>156712</v>
      </c>
      <c r="C24" s="3">
        <f>0</f>
        <v>0</v>
      </c>
      <c r="D24" s="3">
        <f>0</f>
        <v>0</v>
      </c>
      <c r="E24" s="3">
        <f>(156712+0+0)</f>
        <v>156712</v>
      </c>
      <c r="F24" s="3">
        <f>311</f>
        <v>311</v>
      </c>
      <c r="G24" s="3">
        <f>105550</f>
        <v>105550</v>
      </c>
      <c r="H24" s="3">
        <f>(311+105550)</f>
        <v>105861</v>
      </c>
      <c r="I24" s="3">
        <f>((156712+0+0)-(311+105550))</f>
        <v>50851</v>
      </c>
    </row>
    <row r="25" spans="1:9" ht="14" x14ac:dyDescent="0.3">
      <c r="A25" s="2" t="s">
        <v>11</v>
      </c>
      <c r="B25" s="3">
        <f>0</f>
        <v>0</v>
      </c>
      <c r="C25" s="3">
        <f>0</f>
        <v>0</v>
      </c>
      <c r="D25" s="3">
        <f>0</f>
        <v>0</v>
      </c>
      <c r="E25" s="3">
        <f>(0+0+0)</f>
        <v>0</v>
      </c>
      <c r="F25" s="3">
        <f>0</f>
        <v>0</v>
      </c>
      <c r="G25" s="3">
        <f>0</f>
        <v>0</v>
      </c>
      <c r="H25" s="3">
        <f>(0+0)</f>
        <v>0</v>
      </c>
      <c r="I25" s="3">
        <f>((0+0+0)-(0+0))</f>
        <v>0</v>
      </c>
    </row>
    <row r="26" spans="1:9" ht="14" x14ac:dyDescent="0.3">
      <c r="A26" s="2" t="s">
        <v>12</v>
      </c>
      <c r="B26" s="3">
        <f>393573</f>
        <v>393573</v>
      </c>
      <c r="C26" s="3">
        <f>0</f>
        <v>0</v>
      </c>
      <c r="D26" s="3">
        <f>0</f>
        <v>0</v>
      </c>
      <c r="E26" s="3">
        <f>(393573+0+0)</f>
        <v>393573</v>
      </c>
      <c r="F26" s="3">
        <f>80274</f>
        <v>80274</v>
      </c>
      <c r="G26" s="3">
        <f>289141</f>
        <v>289141</v>
      </c>
      <c r="H26" s="3">
        <f>(80274+289141)</f>
        <v>369415</v>
      </c>
      <c r="I26" s="3">
        <f>((393573+0+0)-(80274+289141))</f>
        <v>24158</v>
      </c>
    </row>
    <row r="27" spans="1:9" ht="14" x14ac:dyDescent="0.3">
      <c r="A27" s="2" t="s">
        <v>13</v>
      </c>
      <c r="B27" s="3">
        <f>119349</f>
        <v>119349</v>
      </c>
      <c r="C27" s="3">
        <f>24871</f>
        <v>24871</v>
      </c>
      <c r="D27" s="3">
        <f>0</f>
        <v>0</v>
      </c>
      <c r="E27" s="3">
        <f>(119349+24871+0)</f>
        <v>144220</v>
      </c>
      <c r="F27" s="3">
        <f>278</f>
        <v>278</v>
      </c>
      <c r="G27" s="3">
        <f>0</f>
        <v>0</v>
      </c>
      <c r="H27" s="3">
        <f>(278+0)</f>
        <v>278</v>
      </c>
      <c r="I27" s="3">
        <f>((119349+24871+0)-(278+0))</f>
        <v>143942</v>
      </c>
    </row>
    <row r="28" spans="1:9" ht="14" x14ac:dyDescent="0.3">
      <c r="A28" s="2" t="s">
        <v>14</v>
      </c>
      <c r="B28" s="3">
        <f>0</f>
        <v>0</v>
      </c>
      <c r="C28" s="3">
        <f>0</f>
        <v>0</v>
      </c>
      <c r="D28" s="3">
        <f>0</f>
        <v>0</v>
      </c>
      <c r="E28" s="3">
        <f>(0+0+0)</f>
        <v>0</v>
      </c>
      <c r="F28" s="3">
        <f>0</f>
        <v>0</v>
      </c>
      <c r="G28" s="3">
        <f>0</f>
        <v>0</v>
      </c>
      <c r="H28" s="3">
        <f>(0+0)</f>
        <v>0</v>
      </c>
      <c r="I28" s="3">
        <f>((0+0+0)-(0+0))</f>
        <v>0</v>
      </c>
    </row>
    <row r="29" spans="1:9" ht="14" x14ac:dyDescent="0.3">
      <c r="A29" s="2" t="s">
        <v>15</v>
      </c>
      <c r="B29" s="3">
        <f>191688</f>
        <v>191688</v>
      </c>
      <c r="C29" s="3">
        <f>0</f>
        <v>0</v>
      </c>
      <c r="D29" s="3">
        <f>2063</f>
        <v>2063</v>
      </c>
      <c r="E29" s="3">
        <f>(191688+0+2063)</f>
        <v>193751</v>
      </c>
      <c r="F29" s="3">
        <f>0</f>
        <v>0</v>
      </c>
      <c r="G29" s="3">
        <f>167455</f>
        <v>167455</v>
      </c>
      <c r="H29" s="3">
        <f>(0+167455)</f>
        <v>167455</v>
      </c>
      <c r="I29" s="3">
        <f>((191688+0+2063)-(0+167455))</f>
        <v>26296</v>
      </c>
    </row>
    <row r="30" spans="1:9" ht="14" x14ac:dyDescent="0.3">
      <c r="A30" s="2" t="s">
        <v>16</v>
      </c>
      <c r="B30" s="3">
        <f>2062</f>
        <v>2062</v>
      </c>
      <c r="C30" s="3">
        <f>0</f>
        <v>0</v>
      </c>
      <c r="D30" s="3">
        <f>0</f>
        <v>0</v>
      </c>
      <c r="E30" s="3">
        <f>(2062+0+0)</f>
        <v>2062</v>
      </c>
      <c r="F30" s="3">
        <f>151</f>
        <v>151</v>
      </c>
      <c r="G30" s="3">
        <f>1292</f>
        <v>1292</v>
      </c>
      <c r="H30" s="3">
        <f>(151+1292)</f>
        <v>1443</v>
      </c>
      <c r="I30" s="3">
        <f>((2062+0+0)-(151+1292))</f>
        <v>619</v>
      </c>
    </row>
    <row r="31" spans="1:9" ht="14" x14ac:dyDescent="0.3">
      <c r="A31" s="2" t="s">
        <v>17</v>
      </c>
      <c r="B31" s="3">
        <f>12829</f>
        <v>12829</v>
      </c>
      <c r="C31" s="3">
        <f>0</f>
        <v>0</v>
      </c>
      <c r="D31" s="3">
        <f>0</f>
        <v>0</v>
      </c>
      <c r="E31" s="3">
        <f>(12829+0+0)</f>
        <v>12829</v>
      </c>
      <c r="F31" s="3">
        <f>0</f>
        <v>0</v>
      </c>
      <c r="G31" s="3">
        <f>1864</f>
        <v>1864</v>
      </c>
      <c r="H31" s="3">
        <f>(0+1864)</f>
        <v>1864</v>
      </c>
      <c r="I31" s="3">
        <f>((12829+0+0)-(0+1864))</f>
        <v>10965</v>
      </c>
    </row>
    <row r="32" spans="1:9" ht="14" x14ac:dyDescent="0.3">
      <c r="A32" s="2" t="s">
        <v>18</v>
      </c>
      <c r="B32" s="3">
        <f>8491</f>
        <v>8491</v>
      </c>
      <c r="C32" s="3">
        <f>0</f>
        <v>0</v>
      </c>
      <c r="D32" s="3">
        <f>0</f>
        <v>0</v>
      </c>
      <c r="E32" s="3">
        <f>(8491+0+0)</f>
        <v>8491</v>
      </c>
      <c r="F32" s="3">
        <f>0</f>
        <v>0</v>
      </c>
      <c r="G32" s="3">
        <f>6793</f>
        <v>6793</v>
      </c>
      <c r="H32" s="3">
        <f>(0+6793)</f>
        <v>6793</v>
      </c>
      <c r="I32" s="3">
        <f>((8491+0+0)-(0+6793))</f>
        <v>1698</v>
      </c>
    </row>
    <row r="33" spans="1:9" ht="14" x14ac:dyDescent="0.3">
      <c r="A33" s="2" t="s">
        <v>19</v>
      </c>
      <c r="B33" s="3">
        <f>221910</f>
        <v>221910</v>
      </c>
      <c r="C33" s="3">
        <f>0</f>
        <v>0</v>
      </c>
      <c r="D33" s="3">
        <f>0</f>
        <v>0</v>
      </c>
      <c r="E33" s="3">
        <f>(221910+0+0)</f>
        <v>221910</v>
      </c>
      <c r="F33" s="3">
        <f>1530</f>
        <v>1530</v>
      </c>
      <c r="G33" s="3">
        <f>178025</f>
        <v>178025</v>
      </c>
      <c r="H33" s="3">
        <f>(1530+178025)</f>
        <v>179555</v>
      </c>
      <c r="I33" s="3">
        <f>((221910+0+0)-(1530+178025))</f>
        <v>42355</v>
      </c>
    </row>
    <row r="34" spans="1:9" ht="14" x14ac:dyDescent="0.3">
      <c r="A34" s="2" t="s">
        <v>20</v>
      </c>
      <c r="B34" s="3">
        <f>134360</f>
        <v>134360</v>
      </c>
      <c r="C34" s="3">
        <f>0</f>
        <v>0</v>
      </c>
      <c r="D34" s="3">
        <f>718</f>
        <v>718</v>
      </c>
      <c r="E34" s="3">
        <f>(134360+0+718)</f>
        <v>135078</v>
      </c>
      <c r="F34" s="3">
        <f>3176</f>
        <v>3176</v>
      </c>
      <c r="G34" s="3">
        <f>76538</f>
        <v>76538</v>
      </c>
      <c r="H34" s="3">
        <f>(3176+76538)</f>
        <v>79714</v>
      </c>
      <c r="I34" s="3">
        <f>((134360+0+718)-(3176+76538))</f>
        <v>55364</v>
      </c>
    </row>
    <row r="35" spans="1:9" ht="14" x14ac:dyDescent="0.3">
      <c r="A35" s="2" t="s">
        <v>21</v>
      </c>
      <c r="B35" s="3">
        <f>0</f>
        <v>0</v>
      </c>
      <c r="C35" s="3">
        <f>0</f>
        <v>0</v>
      </c>
      <c r="D35" s="3">
        <f>0</f>
        <v>0</v>
      </c>
      <c r="E35" s="3">
        <f>(0+0+0)</f>
        <v>0</v>
      </c>
      <c r="F35" s="3">
        <f>0</f>
        <v>0</v>
      </c>
      <c r="G35" s="3">
        <f>0</f>
        <v>0</v>
      </c>
      <c r="H35" s="3">
        <f>(0+0)</f>
        <v>0</v>
      </c>
      <c r="I35" s="3">
        <f>((0+0+0)-(0+0))</f>
        <v>0</v>
      </c>
    </row>
    <row r="36" spans="1:9" ht="14" x14ac:dyDescent="0.3">
      <c r="A36" s="2" t="s">
        <v>22</v>
      </c>
      <c r="B36" s="3">
        <f>1158605</f>
        <v>1158605</v>
      </c>
      <c r="C36" s="3">
        <f>0</f>
        <v>0</v>
      </c>
      <c r="D36" s="3">
        <f>0</f>
        <v>0</v>
      </c>
      <c r="E36" s="3">
        <f>(1158605+0+0)</f>
        <v>1158605</v>
      </c>
      <c r="F36" s="3">
        <f>0</f>
        <v>0</v>
      </c>
      <c r="G36" s="3">
        <f>1126850</f>
        <v>1126850</v>
      </c>
      <c r="H36" s="3">
        <f>(0+1126850)</f>
        <v>1126850</v>
      </c>
      <c r="I36" s="3">
        <f>((1158605+0+0)-(0+1126850))</f>
        <v>31755</v>
      </c>
    </row>
    <row r="37" spans="1:9" ht="14" x14ac:dyDescent="0.3">
      <c r="A37" s="2" t="s">
        <v>23</v>
      </c>
      <c r="B37" s="3">
        <f>149712</f>
        <v>149712</v>
      </c>
      <c r="C37" s="3">
        <f>0</f>
        <v>0</v>
      </c>
      <c r="D37" s="3">
        <f>0</f>
        <v>0</v>
      </c>
      <c r="E37" s="3">
        <f>(149712+0+0)</f>
        <v>149712</v>
      </c>
      <c r="F37" s="3">
        <f>0</f>
        <v>0</v>
      </c>
      <c r="G37" s="3">
        <f>138380</f>
        <v>138380</v>
      </c>
      <c r="H37" s="3">
        <f>(0+138380)</f>
        <v>138380</v>
      </c>
      <c r="I37" s="3">
        <f>((149712+0+0)-(0+138380))</f>
        <v>11332</v>
      </c>
    </row>
    <row r="38" spans="1:9" ht="14" x14ac:dyDescent="0.3">
      <c r="A38" s="2" t="s">
        <v>24</v>
      </c>
      <c r="B38" s="3">
        <f>50186</f>
        <v>50186</v>
      </c>
      <c r="C38" s="3">
        <f>0</f>
        <v>0</v>
      </c>
      <c r="D38" s="3">
        <f>0</f>
        <v>0</v>
      </c>
      <c r="E38" s="3">
        <f>(50186+0+0)</f>
        <v>50186</v>
      </c>
      <c r="F38" s="3">
        <f>0</f>
        <v>0</v>
      </c>
      <c r="G38" s="3">
        <f>46576</f>
        <v>46576</v>
      </c>
      <c r="H38" s="3">
        <f>(0+46576)</f>
        <v>46576</v>
      </c>
      <c r="I38" s="3">
        <f>((50186+0+0)-(0+46576))</f>
        <v>3610</v>
      </c>
    </row>
    <row r="39" spans="1:9" ht="14" x14ac:dyDescent="0.3">
      <c r="A39" s="2" t="s">
        <v>25</v>
      </c>
      <c r="B39" s="3">
        <f>42458</f>
        <v>42458</v>
      </c>
      <c r="C39" s="3">
        <f>0</f>
        <v>0</v>
      </c>
      <c r="D39" s="3">
        <f>0</f>
        <v>0</v>
      </c>
      <c r="E39" s="3">
        <f>(42458+0+0)</f>
        <v>42458</v>
      </c>
      <c r="F39" s="3">
        <f>0</f>
        <v>0</v>
      </c>
      <c r="G39" s="3">
        <f>104889</f>
        <v>104889</v>
      </c>
      <c r="H39" s="3">
        <f>(0+104889)</f>
        <v>104889</v>
      </c>
      <c r="I39" s="3">
        <f>((42458+0+0)-(0+104889))</f>
        <v>-62431</v>
      </c>
    </row>
    <row r="40" spans="1:9" ht="14" x14ac:dyDescent="0.3">
      <c r="A40" s="2" t="s">
        <v>26</v>
      </c>
      <c r="B40" s="3">
        <f>82709</f>
        <v>82709</v>
      </c>
      <c r="C40" s="3">
        <f>7149</f>
        <v>7149</v>
      </c>
      <c r="D40" s="3">
        <f>0</f>
        <v>0</v>
      </c>
      <c r="E40" s="3">
        <f>(82709+7149+0)</f>
        <v>89858</v>
      </c>
      <c r="F40" s="3">
        <f>0</f>
        <v>0</v>
      </c>
      <c r="G40" s="3">
        <f>3377</f>
        <v>3377</v>
      </c>
      <c r="H40" s="3">
        <f>(0+3377)</f>
        <v>3377</v>
      </c>
      <c r="I40" s="3">
        <f>((82709+7149+0)-(0+3377))</f>
        <v>86481</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2502325</f>
        <v>2502325</v>
      </c>
      <c r="C44" s="3">
        <f>0</f>
        <v>0</v>
      </c>
      <c r="D44" s="3">
        <f>0</f>
        <v>0</v>
      </c>
      <c r="E44" s="3">
        <f>(2502325+0+0)</f>
        <v>2502325</v>
      </c>
      <c r="F44" s="3">
        <f>223782</f>
        <v>223782</v>
      </c>
      <c r="G44" s="3">
        <f>1796485</f>
        <v>1796485</v>
      </c>
      <c r="H44" s="3">
        <f>(223782+1796485)</f>
        <v>2020267</v>
      </c>
      <c r="I44" s="3">
        <f>((2502325+0+0)-(223782+1796485))</f>
        <v>482058</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2604530</f>
        <v>2604530</v>
      </c>
      <c r="C46" s="3">
        <f>0</f>
        <v>0</v>
      </c>
      <c r="D46" s="3">
        <f>0</f>
        <v>0</v>
      </c>
      <c r="E46" s="3">
        <f>(2604530+0+0)</f>
        <v>2604530</v>
      </c>
      <c r="F46" s="3">
        <f>579964</f>
        <v>579964</v>
      </c>
      <c r="G46" s="3">
        <f>1933196</f>
        <v>1933196</v>
      </c>
      <c r="H46" s="3">
        <f>(579964+1933196)</f>
        <v>2513160</v>
      </c>
      <c r="I46" s="3">
        <f>((2604530+0+0)-(579964+1933196))</f>
        <v>91370</v>
      </c>
    </row>
    <row r="47" spans="1:9" ht="14" x14ac:dyDescent="0.3">
      <c r="A47" s="2" t="s">
        <v>13</v>
      </c>
      <c r="B47" s="3">
        <f>1104953</f>
        <v>1104953</v>
      </c>
      <c r="C47" s="3">
        <f>341060</f>
        <v>341060</v>
      </c>
      <c r="D47" s="3">
        <f>0</f>
        <v>0</v>
      </c>
      <c r="E47" s="3">
        <f>(1104953+341060+0)</f>
        <v>1446013</v>
      </c>
      <c r="F47" s="3">
        <f>116083</f>
        <v>116083</v>
      </c>
      <c r="G47" s="3">
        <f>184495</f>
        <v>184495</v>
      </c>
      <c r="H47" s="3">
        <f>(116083+184495)</f>
        <v>300578</v>
      </c>
      <c r="I47" s="3">
        <f>((1104953+341060+0)-(116083+184495))</f>
        <v>1145435</v>
      </c>
    </row>
    <row r="48" spans="1:9" ht="14" x14ac:dyDescent="0.3">
      <c r="A48" s="2" t="s">
        <v>14</v>
      </c>
      <c r="B48" s="3">
        <f>0</f>
        <v>0</v>
      </c>
      <c r="C48" s="3">
        <f>0</f>
        <v>0</v>
      </c>
      <c r="D48" s="3">
        <f>0</f>
        <v>0</v>
      </c>
      <c r="E48" s="3">
        <f>(0+0+0)</f>
        <v>0</v>
      </c>
      <c r="F48" s="3">
        <f>0</f>
        <v>0</v>
      </c>
      <c r="G48" s="3">
        <f>0</f>
        <v>0</v>
      </c>
      <c r="H48" s="3">
        <f>(0+0)</f>
        <v>0</v>
      </c>
      <c r="I48" s="3">
        <f>((0+0+0)-(0+0))</f>
        <v>0</v>
      </c>
    </row>
    <row r="49" spans="1:9" ht="14" x14ac:dyDescent="0.3">
      <c r="A49" s="2" t="s">
        <v>15</v>
      </c>
      <c r="B49" s="3">
        <f>3414972</f>
        <v>3414972</v>
      </c>
      <c r="C49" s="3">
        <f>81236</f>
        <v>81236</v>
      </c>
      <c r="D49" s="3">
        <f>2128</f>
        <v>2128</v>
      </c>
      <c r="E49" s="3">
        <f>(3414972+81236+2128)</f>
        <v>3498336</v>
      </c>
      <c r="F49" s="3">
        <f>438652</f>
        <v>438652</v>
      </c>
      <c r="G49" s="3">
        <f>2825995</f>
        <v>2825995</v>
      </c>
      <c r="H49" s="3">
        <f>(438652+2825995)</f>
        <v>3264647</v>
      </c>
      <c r="I49" s="3">
        <f>((3414972+81236+2128)-(438652+2825995))</f>
        <v>233689</v>
      </c>
    </row>
    <row r="50" spans="1:9" ht="14" x14ac:dyDescent="0.3">
      <c r="A50" s="2" t="s">
        <v>16</v>
      </c>
      <c r="B50" s="3">
        <f>632316</f>
        <v>632316</v>
      </c>
      <c r="C50" s="3">
        <f>0</f>
        <v>0</v>
      </c>
      <c r="D50" s="3">
        <f>0</f>
        <v>0</v>
      </c>
      <c r="E50" s="3">
        <f>(632316+0+0)</f>
        <v>632316</v>
      </c>
      <c r="F50" s="3">
        <f>51848</f>
        <v>51848</v>
      </c>
      <c r="G50" s="3">
        <f>444910</f>
        <v>444910</v>
      </c>
      <c r="H50" s="3">
        <f>(51848+444910)</f>
        <v>496758</v>
      </c>
      <c r="I50" s="3">
        <f>((632316+0+0)-(51848+444910))</f>
        <v>135558</v>
      </c>
    </row>
    <row r="51" spans="1:9" ht="14" x14ac:dyDescent="0.3">
      <c r="A51" s="2" t="s">
        <v>17</v>
      </c>
      <c r="B51" s="3">
        <f>79441</f>
        <v>79441</v>
      </c>
      <c r="C51" s="3">
        <f>111442</f>
        <v>111442</v>
      </c>
      <c r="D51" s="3">
        <f>0</f>
        <v>0</v>
      </c>
      <c r="E51" s="3">
        <f>(79441+111442+0)</f>
        <v>190883</v>
      </c>
      <c r="F51" s="3">
        <f>0</f>
        <v>0</v>
      </c>
      <c r="G51" s="3">
        <f>22219</f>
        <v>22219</v>
      </c>
      <c r="H51" s="3">
        <f>(0+22219)</f>
        <v>22219</v>
      </c>
      <c r="I51" s="3">
        <f>((79441+111442+0)-(0+22219))</f>
        <v>168664</v>
      </c>
    </row>
    <row r="52" spans="1:9" ht="14" x14ac:dyDescent="0.3">
      <c r="A52" s="2" t="s">
        <v>18</v>
      </c>
      <c r="B52" s="3">
        <f>121754</f>
        <v>121754</v>
      </c>
      <c r="C52" s="3">
        <f>19192</f>
        <v>19192</v>
      </c>
      <c r="D52" s="3">
        <f>0</f>
        <v>0</v>
      </c>
      <c r="E52" s="3">
        <f>(121754+19192+0)</f>
        <v>140946</v>
      </c>
      <c r="F52" s="3">
        <f>22520</f>
        <v>22520</v>
      </c>
      <c r="G52" s="3">
        <f>90755</f>
        <v>90755</v>
      </c>
      <c r="H52" s="3">
        <f>(22520+90755)</f>
        <v>113275</v>
      </c>
      <c r="I52" s="3">
        <f>((121754+19192+0)-(22520+90755))</f>
        <v>27671</v>
      </c>
    </row>
    <row r="53" spans="1:9" ht="14" x14ac:dyDescent="0.3">
      <c r="A53" s="2" t="s">
        <v>19</v>
      </c>
      <c r="B53" s="3">
        <f>1972564</f>
        <v>1972564</v>
      </c>
      <c r="C53" s="3">
        <f>0</f>
        <v>0</v>
      </c>
      <c r="D53" s="3">
        <f>0</f>
        <v>0</v>
      </c>
      <c r="E53" s="3">
        <f>(1972564+0+0)</f>
        <v>1972564</v>
      </c>
      <c r="F53" s="3">
        <f>12376</f>
        <v>12376</v>
      </c>
      <c r="G53" s="3">
        <f>1799554</f>
        <v>1799554</v>
      </c>
      <c r="H53" s="3">
        <f>(12376+1799554)</f>
        <v>1811930</v>
      </c>
      <c r="I53" s="3">
        <f>((1972564+0+0)-(12376+1799554))</f>
        <v>160634</v>
      </c>
    </row>
    <row r="54" spans="1:9" ht="14" x14ac:dyDescent="0.3">
      <c r="A54" s="2" t="s">
        <v>20</v>
      </c>
      <c r="B54" s="3">
        <f>2393997</f>
        <v>2393997</v>
      </c>
      <c r="C54" s="3">
        <f>36757</f>
        <v>36757</v>
      </c>
      <c r="D54" s="3">
        <f>0</f>
        <v>0</v>
      </c>
      <c r="E54" s="3">
        <f>(2393997+36757+0)</f>
        <v>2430754</v>
      </c>
      <c r="F54" s="3">
        <f>911834</f>
        <v>911834</v>
      </c>
      <c r="G54" s="3">
        <f>1462597</f>
        <v>1462597</v>
      </c>
      <c r="H54" s="3">
        <f>(911834+1462597)</f>
        <v>2374431</v>
      </c>
      <c r="I54" s="3">
        <f>((2393997+36757+0)-(911834+1462597))</f>
        <v>56323</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4577781</f>
        <v>4577781</v>
      </c>
      <c r="C56" s="3">
        <f>0</f>
        <v>0</v>
      </c>
      <c r="D56" s="3">
        <f>0</f>
        <v>0</v>
      </c>
      <c r="E56" s="3">
        <f>(4577781+0+0)</f>
        <v>4577781</v>
      </c>
      <c r="F56" s="3">
        <f>0</f>
        <v>0</v>
      </c>
      <c r="G56" s="3">
        <f>4378264</f>
        <v>4378264</v>
      </c>
      <c r="H56" s="3">
        <f>(0+4378264)</f>
        <v>4378264</v>
      </c>
      <c r="I56" s="3">
        <f>((4577781+0+0)-(0+4378264))</f>
        <v>199517</v>
      </c>
    </row>
    <row r="57" spans="1:9" ht="14" x14ac:dyDescent="0.3">
      <c r="A57" s="2" t="s">
        <v>23</v>
      </c>
      <c r="B57" s="3">
        <f>2159015</f>
        <v>2159015</v>
      </c>
      <c r="C57" s="3">
        <f>1061859</f>
        <v>1061859</v>
      </c>
      <c r="D57" s="3">
        <f>0</f>
        <v>0</v>
      </c>
      <c r="E57" s="3">
        <f>(2159015+1061859+0)</f>
        <v>3220874</v>
      </c>
      <c r="F57" s="3">
        <f>0</f>
        <v>0</v>
      </c>
      <c r="G57" s="3">
        <f>3399047</f>
        <v>3399047</v>
      </c>
      <c r="H57" s="3">
        <f>(0+3399047)</f>
        <v>3399047</v>
      </c>
      <c r="I57" s="3">
        <f>((2159015+1061859+0)-(0+3399047))</f>
        <v>-178173</v>
      </c>
    </row>
    <row r="58" spans="1:9" ht="14" x14ac:dyDescent="0.3">
      <c r="A58" s="2" t="s">
        <v>24</v>
      </c>
      <c r="B58" s="3">
        <f>462928</f>
        <v>462928</v>
      </c>
      <c r="C58" s="3">
        <f>0</f>
        <v>0</v>
      </c>
      <c r="D58" s="3">
        <f>0</f>
        <v>0</v>
      </c>
      <c r="E58" s="3">
        <f>(462928+0+0)</f>
        <v>462928</v>
      </c>
      <c r="F58" s="3">
        <f>33800</f>
        <v>33800</v>
      </c>
      <c r="G58" s="3">
        <f>406886</f>
        <v>406886</v>
      </c>
      <c r="H58" s="3">
        <f>(33800+406886)</f>
        <v>440686</v>
      </c>
      <c r="I58" s="3">
        <f>((462928+0+0)-(33800+406886))</f>
        <v>22242</v>
      </c>
    </row>
    <row r="59" spans="1:9" ht="14" x14ac:dyDescent="0.3">
      <c r="A59" s="2" t="s">
        <v>25</v>
      </c>
      <c r="B59" s="3">
        <f>2150010</f>
        <v>2150010</v>
      </c>
      <c r="C59" s="3">
        <f>0</f>
        <v>0</v>
      </c>
      <c r="D59" s="3">
        <f>0</f>
        <v>0</v>
      </c>
      <c r="E59" s="3">
        <f>(2150010+0+0)</f>
        <v>2150010</v>
      </c>
      <c r="F59" s="3">
        <f>0</f>
        <v>0</v>
      </c>
      <c r="G59" s="3">
        <f>1437825</f>
        <v>1437825</v>
      </c>
      <c r="H59" s="3">
        <f>(0+1437825)</f>
        <v>1437825</v>
      </c>
      <c r="I59" s="3">
        <f>((2150010+0+0)-(0+1437825))</f>
        <v>712185</v>
      </c>
    </row>
    <row r="60" spans="1:9" ht="14" x14ac:dyDescent="0.3">
      <c r="A60" s="2" t="s">
        <v>26</v>
      </c>
      <c r="B60" s="3">
        <f>432264</f>
        <v>432264</v>
      </c>
      <c r="C60" s="3">
        <f>12510</f>
        <v>12510</v>
      </c>
      <c r="D60" s="3">
        <f>0</f>
        <v>0</v>
      </c>
      <c r="E60" s="3">
        <f>(432264+12510+0)</f>
        <v>444774</v>
      </c>
      <c r="F60" s="3">
        <f>0</f>
        <v>0</v>
      </c>
      <c r="G60" s="3">
        <f>178780</f>
        <v>178780</v>
      </c>
      <c r="H60" s="3">
        <f>(0+178780)</f>
        <v>178780</v>
      </c>
      <c r="I60" s="3">
        <f>((432264+12510+0)-(0+178780))</f>
        <v>265994</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2061166</f>
        <v>2061166</v>
      </c>
      <c r="C64" s="3">
        <f>0</f>
        <v>0</v>
      </c>
      <c r="D64" s="3">
        <f>0</f>
        <v>0</v>
      </c>
      <c r="E64" s="3">
        <f>(2061166+0+0)</f>
        <v>2061166</v>
      </c>
      <c r="F64" s="3">
        <f>0</f>
        <v>0</v>
      </c>
      <c r="G64" s="3">
        <f>151416</f>
        <v>151416</v>
      </c>
      <c r="H64" s="3">
        <f>(0+151416)</f>
        <v>151416</v>
      </c>
      <c r="I64" s="3">
        <f>((2061166+0+0)-(0+151416))</f>
        <v>1909750</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3692830</f>
        <v>3692830</v>
      </c>
      <c r="C66" s="3">
        <f>0</f>
        <v>0</v>
      </c>
      <c r="D66" s="3">
        <f>0</f>
        <v>0</v>
      </c>
      <c r="E66" s="3">
        <f>(3692830+0+0)</f>
        <v>3692830</v>
      </c>
      <c r="F66" s="3">
        <f>0</f>
        <v>0</v>
      </c>
      <c r="G66" s="3">
        <f>1015581</f>
        <v>1015581</v>
      </c>
      <c r="H66" s="3">
        <f>(0+1015581)</f>
        <v>1015581</v>
      </c>
      <c r="I66" s="3">
        <f>((3692830+0+0)-(0+1015581))</f>
        <v>2677249</v>
      </c>
    </row>
    <row r="67" spans="1:9" ht="14" x14ac:dyDescent="0.3">
      <c r="A67" s="2" t="s">
        <v>13</v>
      </c>
      <c r="B67" s="3">
        <f>1509794</f>
        <v>1509794</v>
      </c>
      <c r="C67" s="3">
        <f>0</f>
        <v>0</v>
      </c>
      <c r="D67" s="3">
        <f>0</f>
        <v>0</v>
      </c>
      <c r="E67" s="3">
        <f>(1509794+0+0)</f>
        <v>1509794</v>
      </c>
      <c r="F67" s="3">
        <f>0</f>
        <v>0</v>
      </c>
      <c r="G67" s="3">
        <f>0</f>
        <v>0</v>
      </c>
      <c r="H67" s="3">
        <f>(0+0)</f>
        <v>0</v>
      </c>
      <c r="I67" s="3">
        <f>((1509794+0+0)-(0+0))</f>
        <v>1509794</v>
      </c>
    </row>
    <row r="68" spans="1:9" ht="14" x14ac:dyDescent="0.3">
      <c r="A68" s="2" t="s">
        <v>14</v>
      </c>
      <c r="B68" s="3">
        <f>0</f>
        <v>0</v>
      </c>
      <c r="C68" s="3">
        <f>0</f>
        <v>0</v>
      </c>
      <c r="D68" s="3">
        <f>0</f>
        <v>0</v>
      </c>
      <c r="E68" s="3">
        <f>(0+0+0)</f>
        <v>0</v>
      </c>
      <c r="F68" s="3">
        <f>0</f>
        <v>0</v>
      </c>
      <c r="G68" s="3">
        <f>0</f>
        <v>0</v>
      </c>
      <c r="H68" s="3">
        <f>(0+0)</f>
        <v>0</v>
      </c>
      <c r="I68" s="3">
        <f>((0+0+0)-(0+0))</f>
        <v>0</v>
      </c>
    </row>
    <row r="69" spans="1:9" ht="14" x14ac:dyDescent="0.3">
      <c r="A69" s="2" t="s">
        <v>15</v>
      </c>
      <c r="B69" s="3">
        <f>2008967</f>
        <v>2008967</v>
      </c>
      <c r="C69" s="3">
        <f>0</f>
        <v>0</v>
      </c>
      <c r="D69" s="3">
        <f>0</f>
        <v>0</v>
      </c>
      <c r="E69" s="3">
        <f>(2008967+0+0)</f>
        <v>2008967</v>
      </c>
      <c r="F69" s="3">
        <f>0</f>
        <v>0</v>
      </c>
      <c r="G69" s="3">
        <f>11430</f>
        <v>11430</v>
      </c>
      <c r="H69" s="3">
        <f>(0+11430)</f>
        <v>11430</v>
      </c>
      <c r="I69" s="3">
        <f>((2008967+0+0)-(0+11430))</f>
        <v>1997537</v>
      </c>
    </row>
    <row r="70" spans="1:9" ht="14" x14ac:dyDescent="0.3">
      <c r="A70" s="2" t="s">
        <v>16</v>
      </c>
      <c r="B70" s="3">
        <f>1589815</f>
        <v>1589815</v>
      </c>
      <c r="C70" s="3">
        <f>0</f>
        <v>0</v>
      </c>
      <c r="D70" s="3">
        <f>0</f>
        <v>0</v>
      </c>
      <c r="E70" s="3">
        <f>(1589815+0+0)</f>
        <v>1589815</v>
      </c>
      <c r="F70" s="3">
        <f>0</f>
        <v>0</v>
      </c>
      <c r="G70" s="3">
        <f>0</f>
        <v>0</v>
      </c>
      <c r="H70" s="3">
        <f>(0+0)</f>
        <v>0</v>
      </c>
      <c r="I70" s="3">
        <f>((1589815+0+0)-(0+0))</f>
        <v>1589815</v>
      </c>
    </row>
    <row r="71" spans="1:9" ht="14" x14ac:dyDescent="0.3">
      <c r="A71" s="2" t="s">
        <v>17</v>
      </c>
      <c r="B71" s="3">
        <f>224949</f>
        <v>224949</v>
      </c>
      <c r="C71" s="3">
        <f>0</f>
        <v>0</v>
      </c>
      <c r="D71" s="3">
        <f>0</f>
        <v>0</v>
      </c>
      <c r="E71" s="3">
        <f>(224949+0+0)</f>
        <v>224949</v>
      </c>
      <c r="F71" s="3">
        <f>0</f>
        <v>0</v>
      </c>
      <c r="G71" s="3">
        <f>0</f>
        <v>0</v>
      </c>
      <c r="H71" s="3">
        <f>(0+0)</f>
        <v>0</v>
      </c>
      <c r="I71" s="3">
        <f>((224949+0+0)-(0+0))</f>
        <v>224949</v>
      </c>
    </row>
    <row r="72" spans="1:9" ht="14" x14ac:dyDescent="0.3">
      <c r="A72" s="2" t="s">
        <v>18</v>
      </c>
      <c r="B72" s="3">
        <f>124977</f>
        <v>124977</v>
      </c>
      <c r="C72" s="3">
        <f>0</f>
        <v>0</v>
      </c>
      <c r="D72" s="3">
        <f>0</f>
        <v>0</v>
      </c>
      <c r="E72" s="3">
        <f>(124977+0+0)</f>
        <v>124977</v>
      </c>
      <c r="F72" s="3">
        <f>0</f>
        <v>0</v>
      </c>
      <c r="G72" s="3">
        <f>2608</f>
        <v>2608</v>
      </c>
      <c r="H72" s="3">
        <f>(0+2608)</f>
        <v>2608</v>
      </c>
      <c r="I72" s="3">
        <f>((124977+0+0)-(0+2608))</f>
        <v>122369</v>
      </c>
    </row>
    <row r="73" spans="1:9" ht="14" x14ac:dyDescent="0.3">
      <c r="A73" s="2" t="s">
        <v>19</v>
      </c>
      <c r="B73" s="3">
        <f>1419739</f>
        <v>1419739</v>
      </c>
      <c r="C73" s="3">
        <f>0</f>
        <v>0</v>
      </c>
      <c r="D73" s="3">
        <f>0</f>
        <v>0</v>
      </c>
      <c r="E73" s="3">
        <f>(1419739+0+0)</f>
        <v>1419739</v>
      </c>
      <c r="F73" s="3">
        <f>0</f>
        <v>0</v>
      </c>
      <c r="G73" s="3">
        <f>383516</f>
        <v>383516</v>
      </c>
      <c r="H73" s="3">
        <f>(0+383516)</f>
        <v>383516</v>
      </c>
      <c r="I73" s="3">
        <f>((1419739+0+0)-(0+383516))</f>
        <v>1036223</v>
      </c>
    </row>
    <row r="74" spans="1:9" ht="14" x14ac:dyDescent="0.3">
      <c r="A74" s="2" t="s">
        <v>20</v>
      </c>
      <c r="B74" s="3">
        <f>143152</f>
        <v>143152</v>
      </c>
      <c r="C74" s="3">
        <f>0</f>
        <v>0</v>
      </c>
      <c r="D74" s="3">
        <f>0</f>
        <v>0</v>
      </c>
      <c r="E74" s="3">
        <f>(143152+0+0)</f>
        <v>143152</v>
      </c>
      <c r="F74" s="3">
        <f>0</f>
        <v>0</v>
      </c>
      <c r="G74" s="3">
        <f>26659</f>
        <v>26659</v>
      </c>
      <c r="H74" s="3">
        <f>(0+26659)</f>
        <v>26659</v>
      </c>
      <c r="I74" s="3">
        <f>((143152+0+0)-(0+26659))</f>
        <v>116493</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5338855</f>
        <v>5338855</v>
      </c>
      <c r="C76" s="3">
        <f>0</f>
        <v>0</v>
      </c>
      <c r="D76" s="3">
        <f>0</f>
        <v>0</v>
      </c>
      <c r="E76" s="3">
        <f>(5338855+0+0)</f>
        <v>5338855</v>
      </c>
      <c r="F76" s="3">
        <f>0</f>
        <v>0</v>
      </c>
      <c r="G76" s="3">
        <f>0</f>
        <v>0</v>
      </c>
      <c r="H76" s="3">
        <f>(0+0)</f>
        <v>0</v>
      </c>
      <c r="I76" s="3">
        <f>((5338855+0+0)-(0+0))</f>
        <v>5338855</v>
      </c>
    </row>
    <row r="77" spans="1:9" ht="14" x14ac:dyDescent="0.3">
      <c r="A77" s="2" t="s">
        <v>23</v>
      </c>
      <c r="B77" s="3">
        <f>103154</f>
        <v>103154</v>
      </c>
      <c r="C77" s="3">
        <f>0</f>
        <v>0</v>
      </c>
      <c r="D77" s="3">
        <f>0</f>
        <v>0</v>
      </c>
      <c r="E77" s="3">
        <f>(103154+0+0)</f>
        <v>103154</v>
      </c>
      <c r="F77" s="3">
        <f>0</f>
        <v>0</v>
      </c>
      <c r="G77" s="3">
        <f>23607</f>
        <v>23607</v>
      </c>
      <c r="H77" s="3">
        <f>(0+23607)</f>
        <v>23607</v>
      </c>
      <c r="I77" s="3">
        <f>((103154+0+0)-(0+23607))</f>
        <v>79547</v>
      </c>
    </row>
    <row r="78" spans="1:9" ht="14" x14ac:dyDescent="0.3">
      <c r="A78" s="2" t="s">
        <v>24</v>
      </c>
      <c r="B78" s="3">
        <f>2029046</f>
        <v>2029046</v>
      </c>
      <c r="C78" s="3">
        <f>0</f>
        <v>0</v>
      </c>
      <c r="D78" s="3">
        <f>0</f>
        <v>0</v>
      </c>
      <c r="E78" s="3">
        <f>(2029046+0+0)</f>
        <v>2029046</v>
      </c>
      <c r="F78" s="3">
        <f>0</f>
        <v>0</v>
      </c>
      <c r="G78" s="3">
        <f>612279</f>
        <v>612279</v>
      </c>
      <c r="H78" s="3">
        <f>(0+612279)</f>
        <v>612279</v>
      </c>
      <c r="I78" s="3">
        <f>((2029046+0+0)-(0+612279))</f>
        <v>1416767</v>
      </c>
    </row>
    <row r="79" spans="1:9" ht="14" x14ac:dyDescent="0.3">
      <c r="A79" s="2" t="s">
        <v>25</v>
      </c>
      <c r="B79" s="3">
        <f>3528456</f>
        <v>3528456</v>
      </c>
      <c r="C79" s="3">
        <f>0</f>
        <v>0</v>
      </c>
      <c r="D79" s="3">
        <f>0</f>
        <v>0</v>
      </c>
      <c r="E79" s="3">
        <f>(3528456+0+0)</f>
        <v>3528456</v>
      </c>
      <c r="F79" s="3">
        <f>0</f>
        <v>0</v>
      </c>
      <c r="G79" s="3">
        <f>178726</f>
        <v>178726</v>
      </c>
      <c r="H79" s="3">
        <f>(0+178726)</f>
        <v>178726</v>
      </c>
      <c r="I79" s="3">
        <f>((3528456+0+0)-(0+178726))</f>
        <v>3349730</v>
      </c>
    </row>
    <row r="80" spans="1:9" ht="14" x14ac:dyDescent="0.3">
      <c r="A80" s="2" t="s">
        <v>26</v>
      </c>
      <c r="B80" s="3">
        <f>2887935</f>
        <v>2887935</v>
      </c>
      <c r="C80" s="3">
        <f>0</f>
        <v>0</v>
      </c>
      <c r="D80" s="3">
        <f>0</f>
        <v>0</v>
      </c>
      <c r="E80" s="3">
        <f>(2887935+0+0)</f>
        <v>2887935</v>
      </c>
      <c r="F80" s="3">
        <f>0</f>
        <v>0</v>
      </c>
      <c r="G80" s="3">
        <f>826</f>
        <v>826</v>
      </c>
      <c r="H80" s="3">
        <f>(0+826)</f>
        <v>826</v>
      </c>
      <c r="I80" s="3">
        <f>((2887935+0+0)-(0+826))</f>
        <v>2887109</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3117940</f>
        <v>3117940</v>
      </c>
      <c r="C84" s="3">
        <f>0</f>
        <v>0</v>
      </c>
      <c r="D84" s="3">
        <f>0</f>
        <v>0</v>
      </c>
      <c r="E84" s="3">
        <f>(3117940+0+0)</f>
        <v>3117940</v>
      </c>
      <c r="F84" s="3">
        <f>0</f>
        <v>0</v>
      </c>
      <c r="G84" s="3">
        <f>95222</f>
        <v>95222</v>
      </c>
      <c r="H84" s="3">
        <f>(0+95222)</f>
        <v>95222</v>
      </c>
      <c r="I84" s="3">
        <f>((3117940+0+0)-(0+95222))</f>
        <v>3022718</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4307504</f>
        <v>4307504</v>
      </c>
      <c r="C86" s="3">
        <f>0</f>
        <v>0</v>
      </c>
      <c r="D86" s="3">
        <f>0</f>
        <v>0</v>
      </c>
      <c r="E86" s="3">
        <f>(4307504+0+0)</f>
        <v>4307504</v>
      </c>
      <c r="F86" s="3">
        <f>0</f>
        <v>0</v>
      </c>
      <c r="G86" s="3">
        <f>920030</f>
        <v>920030</v>
      </c>
      <c r="H86" s="3">
        <f>(0+920030)</f>
        <v>920030</v>
      </c>
      <c r="I86" s="3">
        <f>((4307504+0+0)-(0+920030))</f>
        <v>3387474</v>
      </c>
    </row>
    <row r="87" spans="1:9" ht="14" x14ac:dyDescent="0.3">
      <c r="A87" s="2" t="s">
        <v>13</v>
      </c>
      <c r="B87" s="3">
        <f>1675231</f>
        <v>1675231</v>
      </c>
      <c r="C87" s="3">
        <f>0</f>
        <v>0</v>
      </c>
      <c r="D87" s="3">
        <f>0</f>
        <v>0</v>
      </c>
      <c r="E87" s="3">
        <f>(1675231+0+0)</f>
        <v>1675231</v>
      </c>
      <c r="F87" s="3">
        <f>0</f>
        <v>0</v>
      </c>
      <c r="G87" s="3">
        <f>0</f>
        <v>0</v>
      </c>
      <c r="H87" s="3">
        <f>(0+0)</f>
        <v>0</v>
      </c>
      <c r="I87" s="3">
        <f>((1675231+0+0)-(0+0))</f>
        <v>1675231</v>
      </c>
    </row>
    <row r="88" spans="1:9" ht="14" x14ac:dyDescent="0.3">
      <c r="A88" s="2" t="s">
        <v>14</v>
      </c>
      <c r="B88" s="3">
        <f>0</f>
        <v>0</v>
      </c>
      <c r="C88" s="3">
        <f>0</f>
        <v>0</v>
      </c>
      <c r="D88" s="3">
        <f>0</f>
        <v>0</v>
      </c>
      <c r="E88" s="3">
        <f>(0+0+0)</f>
        <v>0</v>
      </c>
      <c r="F88" s="3">
        <f>0</f>
        <v>0</v>
      </c>
      <c r="G88" s="3">
        <f>0</f>
        <v>0</v>
      </c>
      <c r="H88" s="3">
        <f>(0+0)</f>
        <v>0</v>
      </c>
      <c r="I88" s="3">
        <f>((0+0+0)-(0+0))</f>
        <v>0</v>
      </c>
    </row>
    <row r="89" spans="1:9" ht="14" x14ac:dyDescent="0.3">
      <c r="A89" s="2" t="s">
        <v>15</v>
      </c>
      <c r="B89" s="3">
        <f>1939788</f>
        <v>1939788</v>
      </c>
      <c r="C89" s="3">
        <f>0</f>
        <v>0</v>
      </c>
      <c r="D89" s="3">
        <f>0</f>
        <v>0</v>
      </c>
      <c r="E89" s="3">
        <f>(1939788+0+0)</f>
        <v>1939788</v>
      </c>
      <c r="F89" s="3">
        <f>0</f>
        <v>0</v>
      </c>
      <c r="G89" s="3">
        <f>0</f>
        <v>0</v>
      </c>
      <c r="H89" s="3">
        <f>(0+0)</f>
        <v>0</v>
      </c>
      <c r="I89" s="3">
        <f>((1939788+0+0)-(0+0))</f>
        <v>1939788</v>
      </c>
    </row>
    <row r="90" spans="1:9" ht="14" x14ac:dyDescent="0.3">
      <c r="A90" s="2" t="s">
        <v>16</v>
      </c>
      <c r="B90" s="3">
        <f>2351088</f>
        <v>2351088</v>
      </c>
      <c r="C90" s="3">
        <f>0</f>
        <v>0</v>
      </c>
      <c r="D90" s="3">
        <f>0</f>
        <v>0</v>
      </c>
      <c r="E90" s="3">
        <f>(2351088+0+0)</f>
        <v>2351088</v>
      </c>
      <c r="F90" s="3">
        <f>0</f>
        <v>0</v>
      </c>
      <c r="G90" s="3">
        <f>0</f>
        <v>0</v>
      </c>
      <c r="H90" s="3">
        <f>(0+0)</f>
        <v>0</v>
      </c>
      <c r="I90" s="3">
        <f>((2351088+0+0)-(0+0))</f>
        <v>2351088</v>
      </c>
    </row>
    <row r="91" spans="1:9" ht="14" x14ac:dyDescent="0.3">
      <c r="A91" s="2" t="s">
        <v>17</v>
      </c>
      <c r="B91" s="3">
        <f>734369</f>
        <v>734369</v>
      </c>
      <c r="C91" s="3">
        <f>0</f>
        <v>0</v>
      </c>
      <c r="D91" s="3">
        <f>0</f>
        <v>0</v>
      </c>
      <c r="E91" s="3">
        <f>(734369+0+0)</f>
        <v>734369</v>
      </c>
      <c r="F91" s="3">
        <f>0</f>
        <v>0</v>
      </c>
      <c r="G91" s="3">
        <f>0</f>
        <v>0</v>
      </c>
      <c r="H91" s="3">
        <f>(0+0)</f>
        <v>0</v>
      </c>
      <c r="I91" s="3">
        <f>((734369+0+0)-(0+0))</f>
        <v>734369</v>
      </c>
    </row>
    <row r="92" spans="1:9" ht="14" x14ac:dyDescent="0.3">
      <c r="A92" s="2" t="s">
        <v>18</v>
      </c>
      <c r="B92" s="3">
        <f>27345</f>
        <v>27345</v>
      </c>
      <c r="C92" s="3">
        <f>0</f>
        <v>0</v>
      </c>
      <c r="D92" s="3">
        <f>0</f>
        <v>0</v>
      </c>
      <c r="E92" s="3">
        <f>(27345+0+0)</f>
        <v>27345</v>
      </c>
      <c r="F92" s="3">
        <f>0</f>
        <v>0</v>
      </c>
      <c r="G92" s="3">
        <f>18</f>
        <v>18</v>
      </c>
      <c r="H92" s="3">
        <f>(0+18)</f>
        <v>18</v>
      </c>
      <c r="I92" s="3">
        <f>((27345+0+0)-(0+18))</f>
        <v>27327</v>
      </c>
    </row>
    <row r="93" spans="1:9" ht="14" x14ac:dyDescent="0.3">
      <c r="A93" s="2" t="s">
        <v>19</v>
      </c>
      <c r="B93" s="3">
        <f>863108</f>
        <v>863108</v>
      </c>
      <c r="C93" s="3">
        <f>0</f>
        <v>0</v>
      </c>
      <c r="D93" s="3">
        <f>0</f>
        <v>0</v>
      </c>
      <c r="E93" s="3">
        <f>(863108+0+0)</f>
        <v>863108</v>
      </c>
      <c r="F93" s="3">
        <f>0</f>
        <v>0</v>
      </c>
      <c r="G93" s="3">
        <f>242053</f>
        <v>242053</v>
      </c>
      <c r="H93" s="3">
        <f>(0+242053)</f>
        <v>242053</v>
      </c>
      <c r="I93" s="3">
        <f>((863108+0+0)-(0+242053))</f>
        <v>621055</v>
      </c>
    </row>
    <row r="94" spans="1:9" ht="14" x14ac:dyDescent="0.3">
      <c r="A94" s="2" t="s">
        <v>20</v>
      </c>
      <c r="B94" s="3">
        <f>3137</f>
        <v>3137</v>
      </c>
      <c r="C94" s="3">
        <f>0</f>
        <v>0</v>
      </c>
      <c r="D94" s="3">
        <f>0</f>
        <v>0</v>
      </c>
      <c r="E94" s="3">
        <f>(3137+0+0)</f>
        <v>3137</v>
      </c>
      <c r="F94" s="3">
        <f>0</f>
        <v>0</v>
      </c>
      <c r="G94" s="3">
        <f>0</f>
        <v>0</v>
      </c>
      <c r="H94" s="3">
        <f>(0+0)</f>
        <v>0</v>
      </c>
      <c r="I94" s="3">
        <f>((3137+0+0)-(0+0))</f>
        <v>3137</v>
      </c>
    </row>
    <row r="95" spans="1:9" ht="14" x14ac:dyDescent="0.3">
      <c r="A95" s="2" t="s">
        <v>21</v>
      </c>
      <c r="B95" s="3">
        <f>0</f>
        <v>0</v>
      </c>
      <c r="C95" s="3">
        <f>0</f>
        <v>0</v>
      </c>
      <c r="D95" s="3">
        <f>0</f>
        <v>0</v>
      </c>
      <c r="E95" s="3">
        <f>(0+0+0)</f>
        <v>0</v>
      </c>
      <c r="F95" s="3">
        <f>0</f>
        <v>0</v>
      </c>
      <c r="G95" s="3">
        <f>0</f>
        <v>0</v>
      </c>
      <c r="H95" s="3">
        <f>(0+0)</f>
        <v>0</v>
      </c>
      <c r="I95" s="3">
        <f>((0+0+0)-(0+0))</f>
        <v>0</v>
      </c>
    </row>
    <row r="96" spans="1:9" ht="14" x14ac:dyDescent="0.3">
      <c r="A96" s="2" t="s">
        <v>22</v>
      </c>
      <c r="B96" s="3">
        <f>3169269</f>
        <v>3169269</v>
      </c>
      <c r="C96" s="3">
        <f>0</f>
        <v>0</v>
      </c>
      <c r="D96" s="3">
        <f>0</f>
        <v>0</v>
      </c>
      <c r="E96" s="3">
        <f>(3169269+0+0)</f>
        <v>3169269</v>
      </c>
      <c r="F96" s="3">
        <f>0</f>
        <v>0</v>
      </c>
      <c r="G96" s="3">
        <f>0</f>
        <v>0</v>
      </c>
      <c r="H96" s="3">
        <f>(0+0)</f>
        <v>0</v>
      </c>
      <c r="I96" s="3">
        <f>((3169269+0+0)-(0+0))</f>
        <v>3169269</v>
      </c>
    </row>
    <row r="97" spans="1:9" ht="14" x14ac:dyDescent="0.3">
      <c r="A97" s="2" t="s">
        <v>23</v>
      </c>
      <c r="B97" s="3">
        <f>0</f>
        <v>0</v>
      </c>
      <c r="C97" s="3">
        <f>0</f>
        <v>0</v>
      </c>
      <c r="D97" s="3">
        <f>0</f>
        <v>0</v>
      </c>
      <c r="E97" s="3">
        <f>(0+0+0)</f>
        <v>0</v>
      </c>
      <c r="F97" s="3">
        <f>0</f>
        <v>0</v>
      </c>
      <c r="G97" s="3">
        <f>0</f>
        <v>0</v>
      </c>
      <c r="H97" s="3">
        <f>(0+0)</f>
        <v>0</v>
      </c>
      <c r="I97" s="3">
        <f>((0+0+0)-(0+0))</f>
        <v>0</v>
      </c>
    </row>
    <row r="98" spans="1:9" ht="14" x14ac:dyDescent="0.3">
      <c r="A98" s="2" t="s">
        <v>24</v>
      </c>
      <c r="B98" s="3">
        <f>1682048</f>
        <v>1682048</v>
      </c>
      <c r="C98" s="3">
        <f>0</f>
        <v>0</v>
      </c>
      <c r="D98" s="3">
        <f>0</f>
        <v>0</v>
      </c>
      <c r="E98" s="3">
        <f>(1682048+0+0)</f>
        <v>1682048</v>
      </c>
      <c r="F98" s="3">
        <f>0</f>
        <v>0</v>
      </c>
      <c r="G98" s="3">
        <f>504614</f>
        <v>504614</v>
      </c>
      <c r="H98" s="3">
        <f>(0+504614)</f>
        <v>504614</v>
      </c>
      <c r="I98" s="3">
        <f>((1682048+0+0)-(0+504614))</f>
        <v>1177434</v>
      </c>
    </row>
    <row r="99" spans="1:9" ht="14" x14ac:dyDescent="0.3">
      <c r="A99" s="2" t="s">
        <v>25</v>
      </c>
      <c r="B99" s="3">
        <f>6404316</f>
        <v>6404316</v>
      </c>
      <c r="C99" s="3">
        <f>0</f>
        <v>0</v>
      </c>
      <c r="D99" s="3">
        <f>0</f>
        <v>0</v>
      </c>
      <c r="E99" s="3">
        <f>(6404316+0+0)</f>
        <v>6404316</v>
      </c>
      <c r="F99" s="3">
        <f>0</f>
        <v>0</v>
      </c>
      <c r="G99" s="3">
        <f>0</f>
        <v>0</v>
      </c>
      <c r="H99" s="3">
        <f>(0+0)</f>
        <v>0</v>
      </c>
      <c r="I99" s="3">
        <f>((6404316+0+0)-(0+0))</f>
        <v>6404316</v>
      </c>
    </row>
    <row r="100" spans="1:9" ht="14" x14ac:dyDescent="0.3">
      <c r="A100" s="2" t="s">
        <v>26</v>
      </c>
      <c r="B100" s="3">
        <f>(-3333)</f>
        <v>-3333</v>
      </c>
      <c r="C100" s="3">
        <f>0</f>
        <v>0</v>
      </c>
      <c r="D100" s="3">
        <f>0</f>
        <v>0</v>
      </c>
      <c r="E100" s="3">
        <f>((-3333)+0+0)</f>
        <v>-3333</v>
      </c>
      <c r="F100" s="3">
        <f>0</f>
        <v>0</v>
      </c>
      <c r="G100" s="3">
        <f>0</f>
        <v>0</v>
      </c>
      <c r="H100" s="3">
        <f>(0+0)</f>
        <v>0</v>
      </c>
      <c r="I100" s="3">
        <f>(((-3333)+0+0)-(0+0))</f>
        <v>-3333</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673186</f>
        <v>673186</v>
      </c>
      <c r="C104" s="3">
        <f>0</f>
        <v>0</v>
      </c>
      <c r="D104" s="3">
        <f>0</f>
        <v>0</v>
      </c>
      <c r="E104" s="3">
        <f>(673186+0+0)</f>
        <v>673186</v>
      </c>
      <c r="F104" s="3">
        <f>0</f>
        <v>0</v>
      </c>
      <c r="G104" s="3">
        <f>465220</f>
        <v>465220</v>
      </c>
      <c r="H104" s="3">
        <f>(0+465220)</f>
        <v>465220</v>
      </c>
      <c r="I104" s="3">
        <f>((673186+0+0)-(0+465220))</f>
        <v>207966</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342245</f>
        <v>342245</v>
      </c>
      <c r="C106" s="3">
        <f>0</f>
        <v>0</v>
      </c>
      <c r="D106" s="3">
        <f>0</f>
        <v>0</v>
      </c>
      <c r="E106" s="3">
        <f>(342245+0+0)</f>
        <v>342245</v>
      </c>
      <c r="F106" s="3">
        <f>0</f>
        <v>0</v>
      </c>
      <c r="G106" s="3">
        <f>296219</f>
        <v>296219</v>
      </c>
      <c r="H106" s="3">
        <f>(0+296219)</f>
        <v>296219</v>
      </c>
      <c r="I106" s="3">
        <f>((342245+0+0)-(0+296219))</f>
        <v>46026</v>
      </c>
    </row>
    <row r="107" spans="1:9" ht="14" x14ac:dyDescent="0.3">
      <c r="A107" s="2" t="s">
        <v>13</v>
      </c>
      <c r="B107" s="3">
        <f>151625</f>
        <v>151625</v>
      </c>
      <c r="C107" s="3">
        <f>0</f>
        <v>0</v>
      </c>
      <c r="D107" s="3">
        <f>0</f>
        <v>0</v>
      </c>
      <c r="E107" s="3">
        <f>(151625+0+0)</f>
        <v>151625</v>
      </c>
      <c r="F107" s="3">
        <f>116</f>
        <v>116</v>
      </c>
      <c r="G107" s="3">
        <f>25132</f>
        <v>25132</v>
      </c>
      <c r="H107" s="3">
        <f>(116+25132)</f>
        <v>25248</v>
      </c>
      <c r="I107" s="3">
        <f>((151625+0+0)-(116+25132))</f>
        <v>126377</v>
      </c>
    </row>
    <row r="108" spans="1:9" ht="14" x14ac:dyDescent="0.3">
      <c r="A108" s="2" t="s">
        <v>14</v>
      </c>
      <c r="B108" s="3">
        <f>0</f>
        <v>0</v>
      </c>
      <c r="C108" s="3">
        <f>0</f>
        <v>0</v>
      </c>
      <c r="D108" s="3">
        <f>0</f>
        <v>0</v>
      </c>
      <c r="E108" s="3">
        <f>(0+0+0)</f>
        <v>0</v>
      </c>
      <c r="F108" s="3">
        <f>0</f>
        <v>0</v>
      </c>
      <c r="G108" s="3">
        <f>0</f>
        <v>0</v>
      </c>
      <c r="H108" s="3">
        <f>(0+0)</f>
        <v>0</v>
      </c>
      <c r="I108" s="3">
        <f>((0+0+0)-(0+0))</f>
        <v>0</v>
      </c>
    </row>
    <row r="109" spans="1:9" ht="14" x14ac:dyDescent="0.3">
      <c r="A109" s="2" t="s">
        <v>15</v>
      </c>
      <c r="B109" s="3">
        <f>2043264</f>
        <v>2043264</v>
      </c>
      <c r="C109" s="3">
        <f>0</f>
        <v>0</v>
      </c>
      <c r="D109" s="3">
        <f>0</f>
        <v>0</v>
      </c>
      <c r="E109" s="3">
        <f>(2043264+0+0)</f>
        <v>2043264</v>
      </c>
      <c r="F109" s="3">
        <f>830</f>
        <v>830</v>
      </c>
      <c r="G109" s="3">
        <f>1937570</f>
        <v>1937570</v>
      </c>
      <c r="H109" s="3">
        <f>(830+1937570)</f>
        <v>1938400</v>
      </c>
      <c r="I109" s="3">
        <f>((2043264+0+0)-(830+1937570))</f>
        <v>104864</v>
      </c>
    </row>
    <row r="110" spans="1:9" ht="14" x14ac:dyDescent="0.3">
      <c r="A110" s="2" t="s">
        <v>16</v>
      </c>
      <c r="B110" s="3">
        <f>201319</f>
        <v>201319</v>
      </c>
      <c r="C110" s="3">
        <f>0</f>
        <v>0</v>
      </c>
      <c r="D110" s="3">
        <f>0</f>
        <v>0</v>
      </c>
      <c r="E110" s="3">
        <f>(201319+0+0)</f>
        <v>201319</v>
      </c>
      <c r="F110" s="3">
        <f>19604</f>
        <v>19604</v>
      </c>
      <c r="G110" s="3">
        <f>168222</f>
        <v>168222</v>
      </c>
      <c r="H110" s="3">
        <f>(19604+168222)</f>
        <v>187826</v>
      </c>
      <c r="I110" s="3">
        <f>((201319+0+0)-(19604+168222))</f>
        <v>13493</v>
      </c>
    </row>
    <row r="111" spans="1:9" ht="14" x14ac:dyDescent="0.3">
      <c r="A111" s="2" t="s">
        <v>17</v>
      </c>
      <c r="B111" s="3">
        <f>2469</f>
        <v>2469</v>
      </c>
      <c r="C111" s="3">
        <f>0</f>
        <v>0</v>
      </c>
      <c r="D111" s="3">
        <f>0</f>
        <v>0</v>
      </c>
      <c r="E111" s="3">
        <f>(2469+0+0)</f>
        <v>2469</v>
      </c>
      <c r="F111" s="3">
        <f>0</f>
        <v>0</v>
      </c>
      <c r="G111" s="3">
        <f>0</f>
        <v>0</v>
      </c>
      <c r="H111" s="3">
        <f>(0+0)</f>
        <v>0</v>
      </c>
      <c r="I111" s="3">
        <f>((2469+0+0)-(0+0))</f>
        <v>2469</v>
      </c>
    </row>
    <row r="112" spans="1:9" ht="14" x14ac:dyDescent="0.3">
      <c r="A112" s="2" t="s">
        <v>18</v>
      </c>
      <c r="B112" s="3">
        <f>20918</f>
        <v>20918</v>
      </c>
      <c r="C112" s="3">
        <f>0</f>
        <v>0</v>
      </c>
      <c r="D112" s="3">
        <f>0</f>
        <v>0</v>
      </c>
      <c r="E112" s="3">
        <f>(20918+0+0)</f>
        <v>20918</v>
      </c>
      <c r="F112" s="3">
        <f>0</f>
        <v>0</v>
      </c>
      <c r="G112" s="3">
        <f>3100</f>
        <v>3100</v>
      </c>
      <c r="H112" s="3">
        <f>(0+3100)</f>
        <v>3100</v>
      </c>
      <c r="I112" s="3">
        <f>((20918+0+0)-(0+3100))</f>
        <v>17818</v>
      </c>
    </row>
    <row r="113" spans="1:9" ht="14" x14ac:dyDescent="0.3">
      <c r="A113" s="2" t="s">
        <v>19</v>
      </c>
      <c r="B113" s="3">
        <f>1392856</f>
        <v>1392856</v>
      </c>
      <c r="C113" s="3">
        <f>0</f>
        <v>0</v>
      </c>
      <c r="D113" s="3">
        <f>0</f>
        <v>0</v>
      </c>
      <c r="E113" s="3">
        <f>(1392856+0+0)</f>
        <v>1392856</v>
      </c>
      <c r="F113" s="3">
        <f>839</f>
        <v>839</v>
      </c>
      <c r="G113" s="3">
        <f>1337811</f>
        <v>1337811</v>
      </c>
      <c r="H113" s="3">
        <f>(839+1337811)</f>
        <v>1338650</v>
      </c>
      <c r="I113" s="3">
        <f>((1392856+0+0)-(839+1337811))</f>
        <v>54206</v>
      </c>
    </row>
    <row r="114" spans="1:9" ht="14" x14ac:dyDescent="0.3">
      <c r="A114" s="2" t="s">
        <v>20</v>
      </c>
      <c r="B114" s="3">
        <f>385731</f>
        <v>385731</v>
      </c>
      <c r="C114" s="3">
        <f>0</f>
        <v>0</v>
      </c>
      <c r="D114" s="3">
        <f>0</f>
        <v>0</v>
      </c>
      <c r="E114" s="3">
        <f>(385731+0+0)</f>
        <v>385731</v>
      </c>
      <c r="F114" s="3">
        <f>0</f>
        <v>0</v>
      </c>
      <c r="G114" s="3">
        <f>257806</f>
        <v>257806</v>
      </c>
      <c r="H114" s="3">
        <f>(0+257806)</f>
        <v>257806</v>
      </c>
      <c r="I114" s="3">
        <f>((385731+0+0)-(0+257806))</f>
        <v>127925</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1801136</f>
        <v>1801136</v>
      </c>
      <c r="C116" s="3">
        <f>0</f>
        <v>0</v>
      </c>
      <c r="D116" s="3">
        <f>0</f>
        <v>0</v>
      </c>
      <c r="E116" s="3">
        <f>(1801136+0+0)</f>
        <v>1801136</v>
      </c>
      <c r="F116" s="3">
        <f>0</f>
        <v>0</v>
      </c>
      <c r="G116" s="3">
        <f>1360869</f>
        <v>1360869</v>
      </c>
      <c r="H116" s="3">
        <f>(0+1360869)</f>
        <v>1360869</v>
      </c>
      <c r="I116" s="3">
        <f>((1801136+0+0)-(0+1360869))</f>
        <v>440267</v>
      </c>
    </row>
    <row r="117" spans="1:9" ht="14" x14ac:dyDescent="0.3">
      <c r="A117" s="2" t="s">
        <v>23</v>
      </c>
      <c r="B117" s="3">
        <f>120463</f>
        <v>120463</v>
      </c>
      <c r="C117" s="3">
        <f>0</f>
        <v>0</v>
      </c>
      <c r="D117" s="3">
        <f>0</f>
        <v>0</v>
      </c>
      <c r="E117" s="3">
        <f>(120463+0+0)</f>
        <v>120463</v>
      </c>
      <c r="F117" s="3">
        <f>0</f>
        <v>0</v>
      </c>
      <c r="G117" s="3">
        <f>(-183855)</f>
        <v>-183855</v>
      </c>
      <c r="H117" s="3">
        <f>(0+(-183855))</f>
        <v>-183855</v>
      </c>
      <c r="I117" s="3">
        <f>((120463+0+0)-(0+(-183855)))</f>
        <v>304318</v>
      </c>
    </row>
    <row r="118" spans="1:9" ht="14" x14ac:dyDescent="0.3">
      <c r="A118" s="2" t="s">
        <v>24</v>
      </c>
      <c r="B118" s="3">
        <f>323895</f>
        <v>323895</v>
      </c>
      <c r="C118" s="3">
        <f>0</f>
        <v>0</v>
      </c>
      <c r="D118" s="3">
        <f>0</f>
        <v>0</v>
      </c>
      <c r="E118" s="3">
        <f>(323895+0+0)</f>
        <v>323895</v>
      </c>
      <c r="F118" s="3">
        <f>0</f>
        <v>0</v>
      </c>
      <c r="G118" s="3">
        <f>276058</f>
        <v>276058</v>
      </c>
      <c r="H118" s="3">
        <f>(0+276058)</f>
        <v>276058</v>
      </c>
      <c r="I118" s="3">
        <f>((323895+0+0)-(0+276058))</f>
        <v>47837</v>
      </c>
    </row>
    <row r="119" spans="1:9" ht="14" x14ac:dyDescent="0.3">
      <c r="A119" s="2" t="s">
        <v>25</v>
      </c>
      <c r="B119" s="3">
        <f>170780</f>
        <v>170780</v>
      </c>
      <c r="C119" s="3">
        <f>0</f>
        <v>0</v>
      </c>
      <c r="D119" s="3">
        <f>0</f>
        <v>0</v>
      </c>
      <c r="E119" s="3">
        <f>(170780+0+0)</f>
        <v>170780</v>
      </c>
      <c r="F119" s="3">
        <f>0</f>
        <v>0</v>
      </c>
      <c r="G119" s="3">
        <f>9629</f>
        <v>9629</v>
      </c>
      <c r="H119" s="3">
        <f>(0+9629)</f>
        <v>9629</v>
      </c>
      <c r="I119" s="3">
        <f>((170780+0+0)-(0+9629))</f>
        <v>161151</v>
      </c>
    </row>
    <row r="120" spans="1:9" ht="14" x14ac:dyDescent="0.3">
      <c r="A120" s="2" t="s">
        <v>26</v>
      </c>
      <c r="B120" s="3">
        <f>279607</f>
        <v>279607</v>
      </c>
      <c r="C120" s="3">
        <f>0</f>
        <v>0</v>
      </c>
      <c r="D120" s="3">
        <f>0</f>
        <v>0</v>
      </c>
      <c r="E120" s="3">
        <f>(279607+0+0)</f>
        <v>279607</v>
      </c>
      <c r="F120" s="3">
        <f>0</f>
        <v>0</v>
      </c>
      <c r="G120" s="3">
        <f>108308</f>
        <v>108308</v>
      </c>
      <c r="H120" s="3">
        <f>(0+108308)</f>
        <v>108308</v>
      </c>
      <c r="I120" s="3">
        <f>((279607+0+0)-(0+108308))</f>
        <v>171299</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586474</f>
        <v>586474</v>
      </c>
      <c r="C124" s="3">
        <f>0</f>
        <v>0</v>
      </c>
      <c r="D124" s="3">
        <f>0</f>
        <v>0</v>
      </c>
      <c r="E124" s="3">
        <f>(586474+0+0)</f>
        <v>586474</v>
      </c>
      <c r="F124" s="3">
        <f>14462</f>
        <v>14462</v>
      </c>
      <c r="G124" s="3">
        <f>312319</f>
        <v>312319</v>
      </c>
      <c r="H124" s="3">
        <f>(14462+312319)</f>
        <v>326781</v>
      </c>
      <c r="I124" s="3">
        <f>((586474+0+0)-(14462+312319))</f>
        <v>259693</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2628791</f>
        <v>2628791</v>
      </c>
      <c r="C126" s="3">
        <f>0</f>
        <v>0</v>
      </c>
      <c r="D126" s="3">
        <f>0</f>
        <v>0</v>
      </c>
      <c r="E126" s="3">
        <f>(2628791+0+0)</f>
        <v>2628791</v>
      </c>
      <c r="F126" s="3">
        <f>187820</f>
        <v>187820</v>
      </c>
      <c r="G126" s="3">
        <f>2405315</f>
        <v>2405315</v>
      </c>
      <c r="H126" s="3">
        <f>(187820+2405315)</f>
        <v>2593135</v>
      </c>
      <c r="I126" s="3">
        <f>((2628791+0+0)-(187820+2405315))</f>
        <v>35656</v>
      </c>
    </row>
    <row r="127" spans="1:9" ht="14" x14ac:dyDescent="0.3">
      <c r="A127" s="2" t="s">
        <v>13</v>
      </c>
      <c r="B127" s="3">
        <f>336303</f>
        <v>336303</v>
      </c>
      <c r="C127" s="3">
        <f>100952</f>
        <v>100952</v>
      </c>
      <c r="D127" s="3">
        <f>0</f>
        <v>0</v>
      </c>
      <c r="E127" s="3">
        <f>(336303+100952+0)</f>
        <v>437255</v>
      </c>
      <c r="F127" s="3">
        <f>8473</f>
        <v>8473</v>
      </c>
      <c r="G127" s="3">
        <f>20375</f>
        <v>20375</v>
      </c>
      <c r="H127" s="3">
        <f>(8473+20375)</f>
        <v>28848</v>
      </c>
      <c r="I127" s="3">
        <f>((336303+100952+0)-(8473+20375))</f>
        <v>408407</v>
      </c>
    </row>
    <row r="128" spans="1:9" ht="14" x14ac:dyDescent="0.3">
      <c r="A128" s="2" t="s">
        <v>14</v>
      </c>
      <c r="B128" s="3">
        <f>0</f>
        <v>0</v>
      </c>
      <c r="C128" s="3">
        <f>0</f>
        <v>0</v>
      </c>
      <c r="D128" s="3">
        <f>0</f>
        <v>0</v>
      </c>
      <c r="E128" s="3">
        <f>(0+0+0)</f>
        <v>0</v>
      </c>
      <c r="F128" s="3">
        <f>0</f>
        <v>0</v>
      </c>
      <c r="G128" s="3">
        <f>0</f>
        <v>0</v>
      </c>
      <c r="H128" s="3">
        <f>(0+0)</f>
        <v>0</v>
      </c>
      <c r="I128" s="3">
        <f>((0+0+0)-(0+0))</f>
        <v>0</v>
      </c>
    </row>
    <row r="129" spans="1:9" ht="14" x14ac:dyDescent="0.3">
      <c r="A129" s="2" t="s">
        <v>15</v>
      </c>
      <c r="B129" s="3">
        <f>3693747</f>
        <v>3693747</v>
      </c>
      <c r="C129" s="3">
        <f>0</f>
        <v>0</v>
      </c>
      <c r="D129" s="3">
        <f>0</f>
        <v>0</v>
      </c>
      <c r="E129" s="3">
        <f>(3693747+0+0)</f>
        <v>3693747</v>
      </c>
      <c r="F129" s="3">
        <f>0</f>
        <v>0</v>
      </c>
      <c r="G129" s="3">
        <f>3517741</f>
        <v>3517741</v>
      </c>
      <c r="H129" s="3">
        <f>(0+3517741)</f>
        <v>3517741</v>
      </c>
      <c r="I129" s="3">
        <f>((3693747+0+0)-(0+3517741))</f>
        <v>176006</v>
      </c>
    </row>
    <row r="130" spans="1:9" ht="14" x14ac:dyDescent="0.3">
      <c r="A130" s="2" t="s">
        <v>16</v>
      </c>
      <c r="B130" s="3">
        <f>126416</f>
        <v>126416</v>
      </c>
      <c r="C130" s="3">
        <f>0</f>
        <v>0</v>
      </c>
      <c r="D130" s="3">
        <f>0</f>
        <v>0</v>
      </c>
      <c r="E130" s="3">
        <f>(126416+0+0)</f>
        <v>126416</v>
      </c>
      <c r="F130" s="3">
        <f>10708</f>
        <v>10708</v>
      </c>
      <c r="G130" s="3">
        <f>91888</f>
        <v>91888</v>
      </c>
      <c r="H130" s="3">
        <f>(10708+91888)</f>
        <v>102596</v>
      </c>
      <c r="I130" s="3">
        <f>((126416+0+0)-(10708+91888))</f>
        <v>23820</v>
      </c>
    </row>
    <row r="131" spans="1:9" ht="14" x14ac:dyDescent="0.3">
      <c r="A131" s="2" t="s">
        <v>17</v>
      </c>
      <c r="B131" s="3">
        <f>2412</f>
        <v>2412</v>
      </c>
      <c r="C131" s="3">
        <f>4573</f>
        <v>4573</v>
      </c>
      <c r="D131" s="3">
        <f>0</f>
        <v>0</v>
      </c>
      <c r="E131" s="3">
        <f>(2412+4573+0)</f>
        <v>6985</v>
      </c>
      <c r="F131" s="3">
        <f>0</f>
        <v>0</v>
      </c>
      <c r="G131" s="3">
        <f>672</f>
        <v>672</v>
      </c>
      <c r="H131" s="3">
        <f>(0+672)</f>
        <v>672</v>
      </c>
      <c r="I131" s="3">
        <f>((2412+4573+0)-(0+672))</f>
        <v>6313</v>
      </c>
    </row>
    <row r="132" spans="1:9" ht="14" x14ac:dyDescent="0.3">
      <c r="A132" s="2" t="s">
        <v>18</v>
      </c>
      <c r="B132" s="3">
        <f>51525</f>
        <v>51525</v>
      </c>
      <c r="C132" s="3">
        <f>12019</f>
        <v>12019</v>
      </c>
      <c r="D132" s="3">
        <f>0</f>
        <v>0</v>
      </c>
      <c r="E132" s="3">
        <f>(51525+12019+0)</f>
        <v>63544</v>
      </c>
      <c r="F132" s="3">
        <f>7334</f>
        <v>7334</v>
      </c>
      <c r="G132" s="3">
        <f>44516</f>
        <v>44516</v>
      </c>
      <c r="H132" s="3">
        <f>(7334+44516)</f>
        <v>51850</v>
      </c>
      <c r="I132" s="3">
        <f>((51525+12019+0)-(7334+44516))</f>
        <v>11694</v>
      </c>
    </row>
    <row r="133" spans="1:9" ht="14" x14ac:dyDescent="0.3">
      <c r="A133" s="2" t="s">
        <v>19</v>
      </c>
      <c r="B133" s="3">
        <f>1299175</f>
        <v>1299175</v>
      </c>
      <c r="C133" s="3">
        <f>0</f>
        <v>0</v>
      </c>
      <c r="D133" s="3">
        <f>0</f>
        <v>0</v>
      </c>
      <c r="E133" s="3">
        <f>(1299175+0+0)</f>
        <v>1299175</v>
      </c>
      <c r="F133" s="3">
        <f>10648</f>
        <v>10648</v>
      </c>
      <c r="G133" s="3">
        <f>1170227</f>
        <v>1170227</v>
      </c>
      <c r="H133" s="3">
        <f>(10648+1170227)</f>
        <v>1180875</v>
      </c>
      <c r="I133" s="3">
        <f>((1299175+0+0)-(10648+1170227))</f>
        <v>118300</v>
      </c>
    </row>
    <row r="134" spans="1:9" ht="14" x14ac:dyDescent="0.3">
      <c r="A134" s="2" t="s">
        <v>20</v>
      </c>
      <c r="B134" s="3">
        <f>297533</f>
        <v>297533</v>
      </c>
      <c r="C134" s="3">
        <f>4656</f>
        <v>4656</v>
      </c>
      <c r="D134" s="3">
        <f>0</f>
        <v>0</v>
      </c>
      <c r="E134" s="3">
        <f>(297533+4656+0)</f>
        <v>302189</v>
      </c>
      <c r="F134" s="3">
        <f>49979</f>
        <v>49979</v>
      </c>
      <c r="G134" s="3">
        <f>254735</f>
        <v>254735</v>
      </c>
      <c r="H134" s="3">
        <f>(49979+254735)</f>
        <v>304714</v>
      </c>
      <c r="I134" s="3">
        <f>((297533+4656+0)-(49979+254735))</f>
        <v>-2525</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2230318</f>
        <v>2230318</v>
      </c>
      <c r="C136" s="3">
        <f>0</f>
        <v>0</v>
      </c>
      <c r="D136" s="3">
        <f>0</f>
        <v>0</v>
      </c>
      <c r="E136" s="3">
        <f>(2230318+0+0)</f>
        <v>2230318</v>
      </c>
      <c r="F136" s="3">
        <f>0</f>
        <v>0</v>
      </c>
      <c r="G136" s="3">
        <f>1865998</f>
        <v>1865998</v>
      </c>
      <c r="H136" s="3">
        <f>(0+1865998)</f>
        <v>1865998</v>
      </c>
      <c r="I136" s="3">
        <f>((2230318+0+0)-(0+1865998))</f>
        <v>364320</v>
      </c>
    </row>
    <row r="137" spans="1:9" ht="14" x14ac:dyDescent="0.3">
      <c r="A137" s="2" t="s">
        <v>23</v>
      </c>
      <c r="B137" s="3">
        <f>282173</f>
        <v>282173</v>
      </c>
      <c r="C137" s="3">
        <f>8486</f>
        <v>8486</v>
      </c>
      <c r="D137" s="3">
        <f>0</f>
        <v>0</v>
      </c>
      <c r="E137" s="3">
        <f>(282173+8486+0)</f>
        <v>290659</v>
      </c>
      <c r="F137" s="3">
        <f>0</f>
        <v>0</v>
      </c>
      <c r="G137" s="3">
        <f>10817</f>
        <v>10817</v>
      </c>
      <c r="H137" s="3">
        <f>(0+10817)</f>
        <v>10817</v>
      </c>
      <c r="I137" s="3">
        <f>((282173+8486+0)-(0+10817))</f>
        <v>279842</v>
      </c>
    </row>
    <row r="138" spans="1:9" ht="14" x14ac:dyDescent="0.3">
      <c r="A138" s="2" t="s">
        <v>24</v>
      </c>
      <c r="B138" s="3">
        <f>336884</f>
        <v>336884</v>
      </c>
      <c r="C138" s="3">
        <f>0</f>
        <v>0</v>
      </c>
      <c r="D138" s="3">
        <f>0</f>
        <v>0</v>
      </c>
      <c r="E138" s="3">
        <f>(336884+0+0)</f>
        <v>336884</v>
      </c>
      <c r="F138" s="3">
        <f>8106</f>
        <v>8106</v>
      </c>
      <c r="G138" s="3">
        <f>304062</f>
        <v>304062</v>
      </c>
      <c r="H138" s="3">
        <f>(8106+304062)</f>
        <v>312168</v>
      </c>
      <c r="I138" s="3">
        <f>((336884+0+0)-(8106+304062))</f>
        <v>24716</v>
      </c>
    </row>
    <row r="139" spans="1:9" ht="14" x14ac:dyDescent="0.3">
      <c r="A139" s="2" t="s">
        <v>25</v>
      </c>
      <c r="B139" s="3">
        <f>1273315</f>
        <v>1273315</v>
      </c>
      <c r="C139" s="3">
        <f>0</f>
        <v>0</v>
      </c>
      <c r="D139" s="3">
        <f>0</f>
        <v>0</v>
      </c>
      <c r="E139" s="3">
        <f>(1273315+0+0)</f>
        <v>1273315</v>
      </c>
      <c r="F139" s="3">
        <f>0</f>
        <v>0</v>
      </c>
      <c r="G139" s="3">
        <f>438665</f>
        <v>438665</v>
      </c>
      <c r="H139" s="3">
        <f>(0+438665)</f>
        <v>438665</v>
      </c>
      <c r="I139" s="3">
        <f>((1273315+0+0)-(0+438665))</f>
        <v>834650</v>
      </c>
    </row>
    <row r="140" spans="1:9" ht="14" x14ac:dyDescent="0.3">
      <c r="A140" s="2" t="s">
        <v>26</v>
      </c>
      <c r="B140" s="3">
        <f>245862</f>
        <v>245862</v>
      </c>
      <c r="C140" s="3">
        <f>10055</f>
        <v>10055</v>
      </c>
      <c r="D140" s="3">
        <f>0</f>
        <v>0</v>
      </c>
      <c r="E140" s="3">
        <f>(245862+10055+0)</f>
        <v>255917</v>
      </c>
      <c r="F140" s="3">
        <f>0</f>
        <v>0</v>
      </c>
      <c r="G140" s="3">
        <f>138420</f>
        <v>138420</v>
      </c>
      <c r="H140" s="3">
        <f>(0+138420)</f>
        <v>138420</v>
      </c>
      <c r="I140" s="3">
        <f>((245862+10055+0)-(0+138420))</f>
        <v>117497</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2564074</f>
        <v>2564074</v>
      </c>
      <c r="C144" s="3">
        <f>0</f>
        <v>0</v>
      </c>
      <c r="D144" s="3">
        <f>0</f>
        <v>0</v>
      </c>
      <c r="E144" s="3">
        <f>(2564074+0+0)</f>
        <v>2564074</v>
      </c>
      <c r="F144" s="3">
        <f>0</f>
        <v>0</v>
      </c>
      <c r="G144" s="3">
        <f>439877</f>
        <v>439877</v>
      </c>
      <c r="H144" s="3">
        <f>(0+439877)</f>
        <v>439877</v>
      </c>
      <c r="I144" s="3">
        <f>((2564074+0+0)-(0+439877))</f>
        <v>2124197</v>
      </c>
    </row>
    <row r="145" spans="1:9" ht="14" x14ac:dyDescent="0.3">
      <c r="A145" s="2" t="s">
        <v>11</v>
      </c>
      <c r="B145" s="3">
        <f>555591</f>
        <v>555591</v>
      </c>
      <c r="C145" s="3">
        <f>0</f>
        <v>0</v>
      </c>
      <c r="D145" s="3">
        <f>0</f>
        <v>0</v>
      </c>
      <c r="E145" s="3">
        <f>(555591+0+0)</f>
        <v>555591</v>
      </c>
      <c r="F145" s="3">
        <f>0</f>
        <v>0</v>
      </c>
      <c r="G145" s="3">
        <f>91379</f>
        <v>91379</v>
      </c>
      <c r="H145" s="3">
        <f>(0+91379)</f>
        <v>91379</v>
      </c>
      <c r="I145" s="3">
        <f>((555591+0+0)-(0+91379))</f>
        <v>464212</v>
      </c>
    </row>
    <row r="146" spans="1:9" ht="14" x14ac:dyDescent="0.3">
      <c r="A146" s="2" t="s">
        <v>12</v>
      </c>
      <c r="B146" s="3">
        <f>678000</f>
        <v>678000</v>
      </c>
      <c r="C146" s="3">
        <f>0</f>
        <v>0</v>
      </c>
      <c r="D146" s="3">
        <f>0</f>
        <v>0</v>
      </c>
      <c r="E146" s="3">
        <f>(678000+0+0)</f>
        <v>678000</v>
      </c>
      <c r="F146" s="3">
        <f>0</f>
        <v>0</v>
      </c>
      <c r="G146" s="3">
        <f>394000</f>
        <v>394000</v>
      </c>
      <c r="H146" s="3">
        <f>(0+394000)</f>
        <v>394000</v>
      </c>
      <c r="I146" s="3">
        <f>((678000+0+0)-(0+394000))</f>
        <v>284000</v>
      </c>
    </row>
    <row r="147" spans="1:9" ht="14" x14ac:dyDescent="0.3">
      <c r="A147" s="2" t="s">
        <v>13</v>
      </c>
      <c r="B147" s="3">
        <f>940670</f>
        <v>940670</v>
      </c>
      <c r="C147" s="3">
        <f>274467</f>
        <v>274467</v>
      </c>
      <c r="D147" s="3">
        <f>0</f>
        <v>0</v>
      </c>
      <c r="E147" s="3">
        <f>(940670+274467+0)</f>
        <v>1215137</v>
      </c>
      <c r="F147" s="3">
        <f>0</f>
        <v>0</v>
      </c>
      <c r="G147" s="3">
        <f>0</f>
        <v>0</v>
      </c>
      <c r="H147" s="3">
        <f>(0+0)</f>
        <v>0</v>
      </c>
      <c r="I147" s="3">
        <f>((940670+274467+0)-(0+0))</f>
        <v>1215137</v>
      </c>
    </row>
    <row r="148" spans="1:9" ht="14" x14ac:dyDescent="0.3">
      <c r="A148" s="2" t="s">
        <v>14</v>
      </c>
      <c r="B148" s="3">
        <f>37748199</f>
        <v>37748199</v>
      </c>
      <c r="C148" s="3">
        <f>0</f>
        <v>0</v>
      </c>
      <c r="D148" s="3">
        <f>0</f>
        <v>0</v>
      </c>
      <c r="E148" s="3">
        <f>(37748199+0+0)</f>
        <v>37748199</v>
      </c>
      <c r="F148" s="3">
        <f>0</f>
        <v>0</v>
      </c>
      <c r="G148" s="3">
        <f>10066061</f>
        <v>10066061</v>
      </c>
      <c r="H148" s="3">
        <f>(0+10066061)</f>
        <v>10066061</v>
      </c>
      <c r="I148" s="3">
        <f>((37748199+0+0)-(0+10066061))</f>
        <v>27682138</v>
      </c>
    </row>
    <row r="149" spans="1:9" ht="14" x14ac:dyDescent="0.3">
      <c r="A149" s="2" t="s">
        <v>15</v>
      </c>
      <c r="B149" s="3">
        <f>5341426</f>
        <v>5341426</v>
      </c>
      <c r="C149" s="3">
        <f>0</f>
        <v>0</v>
      </c>
      <c r="D149" s="3">
        <f>0</f>
        <v>0</v>
      </c>
      <c r="E149" s="3">
        <f>(5341426+0+0)</f>
        <v>5341426</v>
      </c>
      <c r="F149" s="3">
        <f>0</f>
        <v>0</v>
      </c>
      <c r="G149" s="3">
        <f>1831520</f>
        <v>1831520</v>
      </c>
      <c r="H149" s="3">
        <f>(0+1831520)</f>
        <v>1831520</v>
      </c>
      <c r="I149" s="3">
        <f>((5341426+0+0)-(0+1831520))</f>
        <v>3509906</v>
      </c>
    </row>
    <row r="150" spans="1:9" ht="14" x14ac:dyDescent="0.3">
      <c r="A150" s="2" t="s">
        <v>16</v>
      </c>
      <c r="B150" s="3">
        <f>3553882</f>
        <v>3553882</v>
      </c>
      <c r="C150" s="3">
        <f>0</f>
        <v>0</v>
      </c>
      <c r="D150" s="3">
        <f>0</f>
        <v>0</v>
      </c>
      <c r="E150" s="3">
        <f>(3553882+0+0)</f>
        <v>3553882</v>
      </c>
      <c r="F150" s="3">
        <f>0</f>
        <v>0</v>
      </c>
      <c r="G150" s="3">
        <f>1249577</f>
        <v>1249577</v>
      </c>
      <c r="H150" s="3">
        <f>(0+1249577)</f>
        <v>1249577</v>
      </c>
      <c r="I150" s="3">
        <f>((3553882+0+0)-(0+1249577))</f>
        <v>2304305</v>
      </c>
    </row>
    <row r="151" spans="1:9" ht="14" x14ac:dyDescent="0.3">
      <c r="A151" s="2" t="s">
        <v>17</v>
      </c>
      <c r="B151" s="3">
        <f>0</f>
        <v>0</v>
      </c>
      <c r="C151" s="3">
        <f>0</f>
        <v>0</v>
      </c>
      <c r="D151" s="3">
        <f>0</f>
        <v>0</v>
      </c>
      <c r="E151" s="3">
        <f>(0+0+0)</f>
        <v>0</v>
      </c>
      <c r="F151" s="3">
        <f>0</f>
        <v>0</v>
      </c>
      <c r="G151" s="3">
        <f>0</f>
        <v>0</v>
      </c>
      <c r="H151" s="3">
        <f>(0+0)</f>
        <v>0</v>
      </c>
      <c r="I151" s="3">
        <f>((0+0+0)-(0+0))</f>
        <v>0</v>
      </c>
    </row>
    <row r="152" spans="1:9" ht="14" x14ac:dyDescent="0.3">
      <c r="A152" s="2" t="s">
        <v>18</v>
      </c>
      <c r="B152" s="3">
        <f>347641</f>
        <v>347641</v>
      </c>
      <c r="C152" s="3">
        <f>0</f>
        <v>0</v>
      </c>
      <c r="D152" s="3">
        <f>0</f>
        <v>0</v>
      </c>
      <c r="E152" s="3">
        <f>(347641+0+0)</f>
        <v>347641</v>
      </c>
      <c r="F152" s="3">
        <f>0</f>
        <v>0</v>
      </c>
      <c r="G152" s="3">
        <f>12302</f>
        <v>12302</v>
      </c>
      <c r="H152" s="3">
        <f>(0+12302)</f>
        <v>12302</v>
      </c>
      <c r="I152" s="3">
        <f>((347641+0+0)-(0+12302))</f>
        <v>335339</v>
      </c>
    </row>
    <row r="153" spans="1:9" ht="14" x14ac:dyDescent="0.3">
      <c r="A153" s="2" t="s">
        <v>19</v>
      </c>
      <c r="B153" s="3">
        <f>520454</f>
        <v>520454</v>
      </c>
      <c r="C153" s="3">
        <f>0</f>
        <v>0</v>
      </c>
      <c r="D153" s="3">
        <f>0</f>
        <v>0</v>
      </c>
      <c r="E153" s="3">
        <f>(520454+0+0)</f>
        <v>520454</v>
      </c>
      <c r="F153" s="3">
        <f>0</f>
        <v>0</v>
      </c>
      <c r="G153" s="3">
        <f>332776</f>
        <v>332776</v>
      </c>
      <c r="H153" s="3">
        <f>(0+332776)</f>
        <v>332776</v>
      </c>
      <c r="I153" s="3">
        <f>((520454+0+0)-(0+332776))</f>
        <v>187678</v>
      </c>
    </row>
    <row r="154" spans="1:9" ht="14" x14ac:dyDescent="0.3">
      <c r="A154" s="2" t="s">
        <v>20</v>
      </c>
      <c r="B154" s="3">
        <f>1018983</f>
        <v>1018983</v>
      </c>
      <c r="C154" s="3">
        <f>0</f>
        <v>0</v>
      </c>
      <c r="D154" s="3">
        <f>0</f>
        <v>0</v>
      </c>
      <c r="E154" s="3">
        <f>(1018983+0+0)</f>
        <v>1018983</v>
      </c>
      <c r="F154" s="3">
        <f>0</f>
        <v>0</v>
      </c>
      <c r="G154" s="3">
        <f>575240</f>
        <v>575240</v>
      </c>
      <c r="H154" s="3">
        <f>(0+575240)</f>
        <v>575240</v>
      </c>
      <c r="I154" s="3">
        <f>((1018983+0+0)-(0+575240))</f>
        <v>443743</v>
      </c>
    </row>
    <row r="155" spans="1:9" ht="14" x14ac:dyDescent="0.3">
      <c r="A155" s="2" t="s">
        <v>21</v>
      </c>
      <c r="B155" s="3">
        <f>525752</f>
        <v>525752</v>
      </c>
      <c r="C155" s="3">
        <f>0</f>
        <v>0</v>
      </c>
      <c r="D155" s="3">
        <f>0</f>
        <v>0</v>
      </c>
      <c r="E155" s="3">
        <f>(525752+0+0)</f>
        <v>525752</v>
      </c>
      <c r="F155" s="3">
        <f>0</f>
        <v>0</v>
      </c>
      <c r="G155" s="3">
        <f>0</f>
        <v>0</v>
      </c>
      <c r="H155" s="3">
        <f>(0+0)</f>
        <v>0</v>
      </c>
      <c r="I155" s="3">
        <f>((525752+0+0)-(0+0))</f>
        <v>525752</v>
      </c>
    </row>
    <row r="156" spans="1:9" ht="14" x14ac:dyDescent="0.3">
      <c r="A156" s="2" t="s">
        <v>22</v>
      </c>
      <c r="B156" s="3">
        <f>2350410</f>
        <v>2350410</v>
      </c>
      <c r="C156" s="3">
        <f>0</f>
        <v>0</v>
      </c>
      <c r="D156" s="3">
        <f>0</f>
        <v>0</v>
      </c>
      <c r="E156" s="3">
        <f>(2350410+0+0)</f>
        <v>2350410</v>
      </c>
      <c r="F156" s="3">
        <f>0</f>
        <v>0</v>
      </c>
      <c r="G156" s="3">
        <f>1441996</f>
        <v>1441996</v>
      </c>
      <c r="H156" s="3">
        <f>(0+1441996)</f>
        <v>1441996</v>
      </c>
      <c r="I156" s="3">
        <f>((2350410+0+0)-(0+1441996))</f>
        <v>908414</v>
      </c>
    </row>
    <row r="157" spans="1:9" ht="14" x14ac:dyDescent="0.3">
      <c r="A157" s="2" t="s">
        <v>23</v>
      </c>
      <c r="B157" s="3">
        <f>398540</f>
        <v>398540</v>
      </c>
      <c r="C157" s="3">
        <f>0</f>
        <v>0</v>
      </c>
      <c r="D157" s="3">
        <f>0</f>
        <v>0</v>
      </c>
      <c r="E157" s="3">
        <f>(398540+0+0)</f>
        <v>398540</v>
      </c>
      <c r="F157" s="3">
        <f>0</f>
        <v>0</v>
      </c>
      <c r="G157" s="3">
        <f>69522</f>
        <v>69522</v>
      </c>
      <c r="H157" s="3">
        <f>(0+69522)</f>
        <v>69522</v>
      </c>
      <c r="I157" s="3">
        <f>((398540+0+0)-(0+69522))</f>
        <v>329018</v>
      </c>
    </row>
    <row r="158" spans="1:9" ht="14" x14ac:dyDescent="0.3">
      <c r="A158" s="2" t="s">
        <v>24</v>
      </c>
      <c r="B158" s="3">
        <f>738537</f>
        <v>738537</v>
      </c>
      <c r="C158" s="3">
        <f>0</f>
        <v>0</v>
      </c>
      <c r="D158" s="3">
        <f>0</f>
        <v>0</v>
      </c>
      <c r="E158" s="3">
        <f>(738537+0+0)</f>
        <v>738537</v>
      </c>
      <c r="F158" s="3">
        <f>0</f>
        <v>0</v>
      </c>
      <c r="G158" s="3">
        <f>567169</f>
        <v>567169</v>
      </c>
      <c r="H158" s="3">
        <f>(0+567169)</f>
        <v>567169</v>
      </c>
      <c r="I158" s="3">
        <f>((738537+0+0)-(0+567169))</f>
        <v>171368</v>
      </c>
    </row>
    <row r="159" spans="1:9" ht="14" x14ac:dyDescent="0.3">
      <c r="A159" s="2" t="s">
        <v>25</v>
      </c>
      <c r="B159" s="3">
        <f>9401524</f>
        <v>9401524</v>
      </c>
      <c r="C159" s="3">
        <f>0</f>
        <v>0</v>
      </c>
      <c r="D159" s="3">
        <f>0</f>
        <v>0</v>
      </c>
      <c r="E159" s="3">
        <f>(9401524+0+0)</f>
        <v>9401524</v>
      </c>
      <c r="F159" s="3">
        <f>0</f>
        <v>0</v>
      </c>
      <c r="G159" s="3">
        <f>0</f>
        <v>0</v>
      </c>
      <c r="H159" s="3">
        <f>(0+0)</f>
        <v>0</v>
      </c>
      <c r="I159" s="3">
        <f>((9401524+0+0)-(0+0))</f>
        <v>9401524</v>
      </c>
    </row>
    <row r="160" spans="1:9" ht="14" x14ac:dyDescent="0.3">
      <c r="A160" s="2" t="s">
        <v>26</v>
      </c>
      <c r="B160" s="3">
        <f>1442851</f>
        <v>1442851</v>
      </c>
      <c r="C160" s="3">
        <f>0</f>
        <v>0</v>
      </c>
      <c r="D160" s="3">
        <f>0</f>
        <v>0</v>
      </c>
      <c r="E160" s="3">
        <f>(1442851+0+0)</f>
        <v>1442851</v>
      </c>
      <c r="F160" s="3">
        <f>0</f>
        <v>0</v>
      </c>
      <c r="G160" s="3">
        <f>30490</f>
        <v>30490</v>
      </c>
      <c r="H160" s="3">
        <f>(0+30490)</f>
        <v>30490</v>
      </c>
      <c r="I160" s="3">
        <f>((1442851+0+0)-(0+30490))</f>
        <v>1412361</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8038104</f>
        <v>8038104</v>
      </c>
      <c r="C164" s="3">
        <f>0</f>
        <v>0</v>
      </c>
      <c r="D164" s="3">
        <f>0</f>
        <v>0</v>
      </c>
      <c r="E164" s="3">
        <f>(8038104+0+0)</f>
        <v>8038104</v>
      </c>
      <c r="F164" s="3">
        <f>48785</f>
        <v>48785</v>
      </c>
      <c r="G164" s="3">
        <f>7560046</f>
        <v>7560046</v>
      </c>
      <c r="H164" s="3">
        <f>(48785+7560046)</f>
        <v>7608831</v>
      </c>
      <c r="I164" s="3">
        <f>((8038104+0+0)-(48785+7560046))</f>
        <v>429273</v>
      </c>
    </row>
    <row r="165" spans="1:9" ht="14" x14ac:dyDescent="0.3">
      <c r="A165" s="2" t="s">
        <v>11</v>
      </c>
      <c r="B165" s="3">
        <f>206894</f>
        <v>206894</v>
      </c>
      <c r="C165" s="3">
        <f>0</f>
        <v>0</v>
      </c>
      <c r="D165" s="3">
        <f>0</f>
        <v>0</v>
      </c>
      <c r="E165" s="3">
        <f>(206894+0+0)</f>
        <v>206894</v>
      </c>
      <c r="F165" s="3">
        <f>0</f>
        <v>0</v>
      </c>
      <c r="G165" s="3">
        <f>6559</f>
        <v>6559</v>
      </c>
      <c r="H165" s="3">
        <f>(0+6559)</f>
        <v>6559</v>
      </c>
      <c r="I165" s="3">
        <f>((206894+0+0)-(0+6559))</f>
        <v>200335</v>
      </c>
    </row>
    <row r="166" spans="1:9" ht="14" x14ac:dyDescent="0.3">
      <c r="A166" s="2" t="s">
        <v>12</v>
      </c>
      <c r="B166" s="3">
        <f>1570562</f>
        <v>1570562</v>
      </c>
      <c r="C166" s="3">
        <f>0</f>
        <v>0</v>
      </c>
      <c r="D166" s="3">
        <f>0</f>
        <v>0</v>
      </c>
      <c r="E166" s="3">
        <f>(1570562+0+0)</f>
        <v>1570562</v>
      </c>
      <c r="F166" s="3">
        <f>0</f>
        <v>0</v>
      </c>
      <c r="G166" s="3">
        <f>1082918</f>
        <v>1082918</v>
      </c>
      <c r="H166" s="3">
        <f>(0+1082918)</f>
        <v>1082918</v>
      </c>
      <c r="I166" s="3">
        <f>((1570562+0+0)-(0+1082918))</f>
        <v>487644</v>
      </c>
    </row>
    <row r="167" spans="1:9" ht="14" x14ac:dyDescent="0.3">
      <c r="A167" s="2" t="s">
        <v>13</v>
      </c>
      <c r="B167" s="3">
        <f>226454</f>
        <v>226454</v>
      </c>
      <c r="C167" s="3">
        <f>0</f>
        <v>0</v>
      </c>
      <c r="D167" s="3">
        <f>0</f>
        <v>0</v>
      </c>
      <c r="E167" s="3">
        <f>(226454+0+0)</f>
        <v>226454</v>
      </c>
      <c r="F167" s="3">
        <f>301</f>
        <v>301</v>
      </c>
      <c r="G167" s="3">
        <f>17420</f>
        <v>17420</v>
      </c>
      <c r="H167" s="3">
        <f>(301+17420)</f>
        <v>17721</v>
      </c>
      <c r="I167" s="3">
        <f>((226454+0+0)-(301+17420))</f>
        <v>208733</v>
      </c>
    </row>
    <row r="168" spans="1:9" ht="14" x14ac:dyDescent="0.3">
      <c r="A168" s="2" t="s">
        <v>14</v>
      </c>
      <c r="B168" s="3">
        <f>0</f>
        <v>0</v>
      </c>
      <c r="C168" s="3">
        <f>0</f>
        <v>0</v>
      </c>
      <c r="D168" s="3">
        <f>0</f>
        <v>0</v>
      </c>
      <c r="E168" s="3">
        <f>(0+0+0)</f>
        <v>0</v>
      </c>
      <c r="F168" s="3">
        <f>0</f>
        <v>0</v>
      </c>
      <c r="G168" s="3">
        <f>0</f>
        <v>0</v>
      </c>
      <c r="H168" s="3">
        <f>(0+0)</f>
        <v>0</v>
      </c>
      <c r="I168" s="3">
        <f>((0+0+0)-(0+0))</f>
        <v>0</v>
      </c>
    </row>
    <row r="169" spans="1:9" ht="14" x14ac:dyDescent="0.3">
      <c r="A169" s="2" t="s">
        <v>15</v>
      </c>
      <c r="B169" s="3">
        <f>408603</f>
        <v>408603</v>
      </c>
      <c r="C169" s="3">
        <f>0</f>
        <v>0</v>
      </c>
      <c r="D169" s="3">
        <f>0</f>
        <v>0</v>
      </c>
      <c r="E169" s="3">
        <f>(408603+0+0)</f>
        <v>408603</v>
      </c>
      <c r="F169" s="3">
        <f>0</f>
        <v>0</v>
      </c>
      <c r="G169" s="3">
        <f>189337</f>
        <v>189337</v>
      </c>
      <c r="H169" s="3">
        <f>(0+189337)</f>
        <v>189337</v>
      </c>
      <c r="I169" s="3">
        <f>((408603+0+0)-(0+189337))</f>
        <v>219266</v>
      </c>
    </row>
    <row r="170" spans="1:9" ht="14" x14ac:dyDescent="0.3">
      <c r="A170" s="2" t="s">
        <v>16</v>
      </c>
      <c r="B170" s="3">
        <f>31160</f>
        <v>31160</v>
      </c>
      <c r="C170" s="3">
        <f>0</f>
        <v>0</v>
      </c>
      <c r="D170" s="3">
        <f>0</f>
        <v>0</v>
      </c>
      <c r="E170" s="3">
        <f>(31160+0+0)</f>
        <v>31160</v>
      </c>
      <c r="F170" s="3">
        <f>2233</f>
        <v>2233</v>
      </c>
      <c r="G170" s="3">
        <f>19155</f>
        <v>19155</v>
      </c>
      <c r="H170" s="3">
        <f>(2233+19155)</f>
        <v>21388</v>
      </c>
      <c r="I170" s="3">
        <f>((31160+0+0)-(2233+19155))</f>
        <v>9772</v>
      </c>
    </row>
    <row r="171" spans="1:9" ht="14" x14ac:dyDescent="0.3">
      <c r="A171" s="2" t="s">
        <v>17</v>
      </c>
      <c r="B171" s="3">
        <f>12787</f>
        <v>12787</v>
      </c>
      <c r="C171" s="3">
        <f>0</f>
        <v>0</v>
      </c>
      <c r="D171" s="3">
        <f>0</f>
        <v>0</v>
      </c>
      <c r="E171" s="3">
        <f>(12787+0+0)</f>
        <v>12787</v>
      </c>
      <c r="F171" s="3">
        <f>0</f>
        <v>0</v>
      </c>
      <c r="G171" s="3">
        <f>2960</f>
        <v>2960</v>
      </c>
      <c r="H171" s="3">
        <f>(0+2960)</f>
        <v>2960</v>
      </c>
      <c r="I171" s="3">
        <f>((12787+0+0)-(0+2960))</f>
        <v>9827</v>
      </c>
    </row>
    <row r="172" spans="1:9" ht="14" x14ac:dyDescent="0.3">
      <c r="A172" s="2" t="s">
        <v>18</v>
      </c>
      <c r="B172" s="3">
        <f>7759</f>
        <v>7759</v>
      </c>
      <c r="C172" s="3">
        <f>0</f>
        <v>0</v>
      </c>
      <c r="D172" s="3">
        <f>0</f>
        <v>0</v>
      </c>
      <c r="E172" s="3">
        <f>(7759+0+0)</f>
        <v>7759</v>
      </c>
      <c r="F172" s="3">
        <f>0</f>
        <v>0</v>
      </c>
      <c r="G172" s="3">
        <f>5742</f>
        <v>5742</v>
      </c>
      <c r="H172" s="3">
        <f>(0+5742)</f>
        <v>5742</v>
      </c>
      <c r="I172" s="3">
        <f>((7759+0+0)-(0+5742))</f>
        <v>2017</v>
      </c>
    </row>
    <row r="173" spans="1:9" ht="14" x14ac:dyDescent="0.3">
      <c r="A173" s="2" t="s">
        <v>19</v>
      </c>
      <c r="B173" s="3">
        <f>73319</f>
        <v>73319</v>
      </c>
      <c r="C173" s="3">
        <f>0</f>
        <v>0</v>
      </c>
      <c r="D173" s="3">
        <f>0</f>
        <v>0</v>
      </c>
      <c r="E173" s="3">
        <f>(73319+0+0)</f>
        <v>73319</v>
      </c>
      <c r="F173" s="3">
        <f>3327</f>
        <v>3327</v>
      </c>
      <c r="G173" s="3">
        <f>57032</f>
        <v>57032</v>
      </c>
      <c r="H173" s="3">
        <f>(3327+57032)</f>
        <v>60359</v>
      </c>
      <c r="I173" s="3">
        <f>((73319+0+0)-(3327+57032))</f>
        <v>12960</v>
      </c>
    </row>
    <row r="174" spans="1:9" ht="14" x14ac:dyDescent="0.3">
      <c r="A174" s="2" t="s">
        <v>20</v>
      </c>
      <c r="B174" s="3">
        <f>250955</f>
        <v>250955</v>
      </c>
      <c r="C174" s="3">
        <f>0</f>
        <v>0</v>
      </c>
      <c r="D174" s="3">
        <f>0</f>
        <v>0</v>
      </c>
      <c r="E174" s="3">
        <f>(250955+0+0)</f>
        <v>250955</v>
      </c>
      <c r="F174" s="3">
        <f>0</f>
        <v>0</v>
      </c>
      <c r="G174" s="3">
        <f>154587</f>
        <v>154587</v>
      </c>
      <c r="H174" s="3">
        <f>(0+154587)</f>
        <v>154587</v>
      </c>
      <c r="I174" s="3">
        <f>((250955+0+0)-(0+154587))</f>
        <v>96368</v>
      </c>
    </row>
    <row r="175" spans="1:9" ht="14" x14ac:dyDescent="0.3">
      <c r="A175" s="2" t="s">
        <v>21</v>
      </c>
      <c r="B175" s="3">
        <f>0</f>
        <v>0</v>
      </c>
      <c r="C175" s="3">
        <f>0</f>
        <v>0</v>
      </c>
      <c r="D175" s="3">
        <f>0</f>
        <v>0</v>
      </c>
      <c r="E175" s="3">
        <f>(0+0+0)</f>
        <v>0</v>
      </c>
      <c r="F175" s="3">
        <f>0</f>
        <v>0</v>
      </c>
      <c r="G175" s="3">
        <f>0</f>
        <v>0</v>
      </c>
      <c r="H175" s="3">
        <f>(0+0)</f>
        <v>0</v>
      </c>
      <c r="I175" s="3">
        <f>((0+0+0)-(0+0))</f>
        <v>0</v>
      </c>
    </row>
    <row r="176" spans="1:9" ht="14" x14ac:dyDescent="0.3">
      <c r="A176" s="2" t="s">
        <v>22</v>
      </c>
      <c r="B176" s="3">
        <f>1691541</f>
        <v>1691541</v>
      </c>
      <c r="C176" s="3">
        <f>0</f>
        <v>0</v>
      </c>
      <c r="D176" s="3">
        <f>0</f>
        <v>0</v>
      </c>
      <c r="E176" s="3">
        <f>(1691541+0+0)</f>
        <v>1691541</v>
      </c>
      <c r="F176" s="3">
        <f>0</f>
        <v>0</v>
      </c>
      <c r="G176" s="3">
        <f>857335</f>
        <v>857335</v>
      </c>
      <c r="H176" s="3">
        <f>(0+857335)</f>
        <v>857335</v>
      </c>
      <c r="I176" s="3">
        <f>((1691541+0+0)-(0+857335))</f>
        <v>834206</v>
      </c>
    </row>
    <row r="177" spans="1:9" ht="14" x14ac:dyDescent="0.3">
      <c r="A177" s="2" t="s">
        <v>23</v>
      </c>
      <c r="B177" s="3">
        <f>35130</f>
        <v>35130</v>
      </c>
      <c r="C177" s="3">
        <f>0</f>
        <v>0</v>
      </c>
      <c r="D177" s="3">
        <f>0</f>
        <v>0</v>
      </c>
      <c r="E177" s="3">
        <f>(35130+0+0)</f>
        <v>35130</v>
      </c>
      <c r="F177" s="3">
        <f>0</f>
        <v>0</v>
      </c>
      <c r="G177" s="3">
        <f>17305</f>
        <v>17305</v>
      </c>
      <c r="H177" s="3">
        <f>(0+17305)</f>
        <v>17305</v>
      </c>
      <c r="I177" s="3">
        <f>((35130+0+0)-(0+17305))</f>
        <v>17825</v>
      </c>
    </row>
    <row r="178" spans="1:9" ht="14" x14ac:dyDescent="0.3">
      <c r="A178" s="2" t="s">
        <v>24</v>
      </c>
      <c r="B178" s="3">
        <f>100494</f>
        <v>100494</v>
      </c>
      <c r="C178" s="3">
        <f>0</f>
        <v>0</v>
      </c>
      <c r="D178" s="3">
        <f>0</f>
        <v>0</v>
      </c>
      <c r="E178" s="3">
        <f>(100494+0+0)</f>
        <v>100494</v>
      </c>
      <c r="F178" s="3">
        <f>0</f>
        <v>0</v>
      </c>
      <c r="G178" s="3">
        <f>89070</f>
        <v>89070</v>
      </c>
      <c r="H178" s="3">
        <f>(0+89070)</f>
        <v>89070</v>
      </c>
      <c r="I178" s="3">
        <f>((100494+0+0)-(0+89070))</f>
        <v>11424</v>
      </c>
    </row>
    <row r="179" spans="1:9" ht="14" x14ac:dyDescent="0.3">
      <c r="A179" s="2" t="s">
        <v>25</v>
      </c>
      <c r="B179" s="3">
        <f>149604</f>
        <v>149604</v>
      </c>
      <c r="C179" s="3">
        <f>0</f>
        <v>0</v>
      </c>
      <c r="D179" s="3">
        <f>0</f>
        <v>0</v>
      </c>
      <c r="E179" s="3">
        <f>(149604+0+0)</f>
        <v>149604</v>
      </c>
      <c r="F179" s="3">
        <f>0</f>
        <v>0</v>
      </c>
      <c r="G179" s="3">
        <f>115866</f>
        <v>115866</v>
      </c>
      <c r="H179" s="3">
        <f>(0+115866)</f>
        <v>115866</v>
      </c>
      <c r="I179" s="3">
        <f>((149604+0+0)-(0+115866))</f>
        <v>33738</v>
      </c>
    </row>
    <row r="180" spans="1:9" ht="14" x14ac:dyDescent="0.3">
      <c r="A180" s="2" t="s">
        <v>26</v>
      </c>
      <c r="B180" s="3">
        <f>294985</f>
        <v>294985</v>
      </c>
      <c r="C180" s="3">
        <f>3989</f>
        <v>3989</v>
      </c>
      <c r="D180" s="3">
        <f>0</f>
        <v>0</v>
      </c>
      <c r="E180" s="3">
        <f>(294985+3989+0)</f>
        <v>298974</v>
      </c>
      <c r="F180" s="3">
        <f>0</f>
        <v>0</v>
      </c>
      <c r="G180" s="3">
        <f>11427</f>
        <v>11427</v>
      </c>
      <c r="H180" s="3">
        <f>(0+11427)</f>
        <v>11427</v>
      </c>
      <c r="I180" s="3">
        <f>((294985+3989+0)-(0+11427))</f>
        <v>287547</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((156712+2502325+(2061166+3117940)+673186+586474+8038104)+2564074)</f>
        <v>19699981</v>
      </c>
      <c r="C184" s="3">
        <f t="shared" ref="C184:D186" si="1">((0+0+(0+0)+0+0+0)+0)</f>
        <v>0</v>
      </c>
      <c r="D184" s="3">
        <f t="shared" si="1"/>
        <v>0</v>
      </c>
      <c r="E184" s="3">
        <f>(((156712+2502325+(2061166+3117940)+673186+586474+8038104)+2564074)+((0+0+(0+0)+0+0+0)+0)+((0+0+(0+0)+0+0+0)+0))</f>
        <v>19699981</v>
      </c>
      <c r="F184" s="3">
        <f>((311+223782+(0+0)+0+14462+48785)+0)</f>
        <v>287340</v>
      </c>
      <c r="G184" s="3">
        <f>((105550+1796485+(151416+95222)+465220+312319+7560046)+439877)</f>
        <v>10926135</v>
      </c>
      <c r="H184" s="3">
        <f>(((311+223782+(0+0)+0+14462+48785)+0)+((105550+1796485+(151416+95222)+465220+312319+7560046)+439877))</f>
        <v>11213475</v>
      </c>
      <c r="I184" s="3">
        <f>((((156712+2502325+(2061166+3117940)+673186+586474+8038104)+2564074)+((0+0+(0+0)+0+0+0)+0)+((0+0+(0+0)+0+0+0)+0))-(((311+223782+(0+0)+0+14462+48785)+0)+((105550+1796485+(151416+95222)+465220+312319+7560046)+439877)))</f>
        <v>8486506</v>
      </c>
    </row>
    <row r="185" spans="1:9" ht="14" x14ac:dyDescent="0.3">
      <c r="A185" s="2" t="s">
        <v>11</v>
      </c>
      <c r="B185" s="3">
        <f>((0+0+(0+0)+0+0+206894)+555591)</f>
        <v>762485</v>
      </c>
      <c r="C185" s="3">
        <f t="shared" si="1"/>
        <v>0</v>
      </c>
      <c r="D185" s="3">
        <f t="shared" si="1"/>
        <v>0</v>
      </c>
      <c r="E185" s="3">
        <f>(((0+0+(0+0)+0+0+206894)+555591)+((0+0+(0+0)+0+0+0)+0)+((0+0+(0+0)+0+0+0)+0))</f>
        <v>762485</v>
      </c>
      <c r="F185" s="3">
        <f>((0+0+(0+0)+0+0+0)+0)</f>
        <v>0</v>
      </c>
      <c r="G185" s="3">
        <f>((0+0+(0+0)+0+0+6559)+91379)</f>
        <v>97938</v>
      </c>
      <c r="H185" s="3">
        <f>(((0+0+(0+0)+0+0+0)+0)+((0+0+(0+0)+0+0+6559)+91379))</f>
        <v>97938</v>
      </c>
      <c r="I185" s="3">
        <f>((((0+0+(0+0)+0+0+206894)+555591)+((0+0+(0+0)+0+0+0)+0)+((0+0+(0+0)+0+0+0)+0))-(((0+0+(0+0)+0+0+0)+0)+((0+0+(0+0)+0+0+6559)+91379)))</f>
        <v>664547</v>
      </c>
    </row>
    <row r="186" spans="1:9" ht="14" x14ac:dyDescent="0.3">
      <c r="A186" s="2" t="s">
        <v>12</v>
      </c>
      <c r="B186" s="3">
        <f>((393573+2604530+(3692830+4307504)+342245+2628791+1570562)+678000)</f>
        <v>16218035</v>
      </c>
      <c r="C186" s="3">
        <f t="shared" si="1"/>
        <v>0</v>
      </c>
      <c r="D186" s="3">
        <f t="shared" si="1"/>
        <v>0</v>
      </c>
      <c r="E186" s="3">
        <f>(((393573+2604530+(3692830+4307504)+342245+2628791+1570562)+678000)+((0+0+(0+0)+0+0+0)+0)+((0+0+(0+0)+0+0+0)+0))</f>
        <v>16218035</v>
      </c>
      <c r="F186" s="3">
        <f>((80274+579964+(0+0)+0+187820+0)+0)</f>
        <v>848058</v>
      </c>
      <c r="G186" s="3">
        <f>((289141+1933196+(1015581+920030)+296219+2405315+1082918)+394000)</f>
        <v>8336400</v>
      </c>
      <c r="H186" s="3">
        <f>(((80274+579964+(0+0)+0+187820+0)+0)+((289141+1933196+(1015581+920030)+296219+2405315+1082918)+394000))</f>
        <v>9184458</v>
      </c>
      <c r="I186" s="3">
        <f>((((393573+2604530+(3692830+4307504)+342245+2628791+1570562)+678000)+((0+0+(0+0)+0+0+0)+0)+((0+0+(0+0)+0+0+0)+0))-(((80274+579964+(0+0)+0+187820+0)+0)+((289141+1933196+(1015581+920030)+296219+2405315+1082918)+394000)))</f>
        <v>7033577</v>
      </c>
    </row>
    <row r="187" spans="1:9" ht="14" x14ac:dyDescent="0.3">
      <c r="A187" s="2" t="s">
        <v>13</v>
      </c>
      <c r="B187" s="3">
        <f>((119349+1104953+(1509794+1675231)+151625+336303+226454)+940670)</f>
        <v>6064379</v>
      </c>
      <c r="C187" s="3">
        <f>((24871+341060+(0+0)+0+100952+0)+274467)</f>
        <v>741350</v>
      </c>
      <c r="D187" s="3">
        <f>((0+0+(0+0)+0+0+0)+0)</f>
        <v>0</v>
      </c>
      <c r="E187" s="3">
        <f>(((119349+1104953+(1509794+1675231)+151625+336303+226454)+940670)+((24871+341060+(0+0)+0+100952+0)+274467)+((0+0+(0+0)+0+0+0)+0))</f>
        <v>6805729</v>
      </c>
      <c r="F187" s="3">
        <f>((278+116083+(0+0)+116+8473+301)+0)</f>
        <v>125251</v>
      </c>
      <c r="G187" s="3">
        <f>((0+184495+(0+0)+25132+20375+17420)+0)</f>
        <v>247422</v>
      </c>
      <c r="H187" s="3">
        <f>(((278+116083+(0+0)+116+8473+301)+0)+((0+184495+(0+0)+25132+20375+17420)+0))</f>
        <v>372673</v>
      </c>
      <c r="I187" s="3">
        <f>((((119349+1104953+(1509794+1675231)+151625+336303+226454)+940670)+((24871+341060+(0+0)+0+100952+0)+274467)+((0+0+(0+0)+0+0+0)+0))-(((278+116083+(0+0)+116+8473+301)+0)+((0+184495+(0+0)+25132+20375+17420)+0)))</f>
        <v>6433056</v>
      </c>
    </row>
    <row r="188" spans="1:9" ht="14" x14ac:dyDescent="0.3">
      <c r="A188" s="2" t="s">
        <v>14</v>
      </c>
      <c r="B188" s="3">
        <f>((0+0+(0+0)+0+0+0)+37748199)</f>
        <v>37748199</v>
      </c>
      <c r="C188" s="3">
        <f>((0+0+(0+0)+0+0+0)+0)</f>
        <v>0</v>
      </c>
      <c r="D188" s="3">
        <f>((0+0+(0+0)+0+0+0)+0)</f>
        <v>0</v>
      </c>
      <c r="E188" s="3">
        <f>(((0+0+(0+0)+0+0+0)+37748199)+((0+0+(0+0)+0+0+0)+0)+((0+0+(0+0)+0+0+0)+0))</f>
        <v>37748199</v>
      </c>
      <c r="F188" s="3">
        <f>((0+0+(0+0)+0+0+0)+0)</f>
        <v>0</v>
      </c>
      <c r="G188" s="3">
        <f>((0+0+(0+0)+0+0+0)+10066061)</f>
        <v>10066061</v>
      </c>
      <c r="H188" s="3">
        <f>(((0+0+(0+0)+0+0+0)+0)+((0+0+(0+0)+0+0+0)+10066061))</f>
        <v>10066061</v>
      </c>
      <c r="I188" s="3">
        <f>((((0+0+(0+0)+0+0+0)+37748199)+((0+0+(0+0)+0+0+0)+0)+((0+0+(0+0)+0+0+0)+0))-(((0+0+(0+0)+0+0+0)+0)+((0+0+(0+0)+0+0+0)+10066061)))</f>
        <v>27682138</v>
      </c>
    </row>
    <row r="189" spans="1:9" ht="14" x14ac:dyDescent="0.3">
      <c r="A189" s="2" t="s">
        <v>15</v>
      </c>
      <c r="B189" s="3">
        <f>((191688+3414972+(2008967+1939788)+2043264+3693747+408603)+5341426)</f>
        <v>19042455</v>
      </c>
      <c r="C189" s="3">
        <f>((0+81236+(0+0)+0+0+0)+0)</f>
        <v>81236</v>
      </c>
      <c r="D189" s="3">
        <f>((2063+2128+(0+0)+0+0+0)+0)</f>
        <v>4191</v>
      </c>
      <c r="E189" s="3">
        <f>(((191688+3414972+(2008967+1939788)+2043264+3693747+408603)+5341426)+((0+81236+(0+0)+0+0+0)+0)+((2063+2128+(0+0)+0+0+0)+0))</f>
        <v>19127882</v>
      </c>
      <c r="F189" s="3">
        <f>((0+438652+(0+0)+830+0+0)+0)</f>
        <v>439482</v>
      </c>
      <c r="G189" s="3">
        <f>((167455+2825995+(11430+0)+1937570+3517741+189337)+1831520)</f>
        <v>10481048</v>
      </c>
      <c r="H189" s="3">
        <f>(((0+438652+(0+0)+830+0+0)+0)+((167455+2825995+(11430+0)+1937570+3517741+189337)+1831520))</f>
        <v>10920530</v>
      </c>
      <c r="I189" s="3">
        <f>((((191688+3414972+(2008967+1939788)+2043264+3693747+408603)+5341426)+((0+81236+(0+0)+0+0+0)+0)+((2063+2128+(0+0)+0+0+0)+0))-(((0+438652+(0+0)+830+0+0)+0)+((167455+2825995+(11430+0)+1937570+3517741+189337)+1831520)))</f>
        <v>8207352</v>
      </c>
    </row>
    <row r="190" spans="1:9" ht="14" x14ac:dyDescent="0.3">
      <c r="A190" s="2" t="s">
        <v>16</v>
      </c>
      <c r="B190" s="3">
        <f>((2062+632316+(1589815+2351088)+201319+126416+31160)+3553882)</f>
        <v>8488058</v>
      </c>
      <c r="C190" s="3">
        <f>((0+0+(0+0)+0+0+0)+0)</f>
        <v>0</v>
      </c>
      <c r="D190" s="3">
        <f>((0+0+(0+0)+0+0+0)+0)</f>
        <v>0</v>
      </c>
      <c r="E190" s="3">
        <f>(((2062+632316+(1589815+2351088)+201319+126416+31160)+3553882)+((0+0+(0+0)+0+0+0)+0)+((0+0+(0+0)+0+0+0)+0))</f>
        <v>8488058</v>
      </c>
      <c r="F190" s="3">
        <f>((151+51848+(0+0)+19604+10708+2233)+0)</f>
        <v>84544</v>
      </c>
      <c r="G190" s="3">
        <f>((1292+444910+(0+0)+168222+91888+19155)+1249577)</f>
        <v>1975044</v>
      </c>
      <c r="H190" s="3">
        <f>(((151+51848+(0+0)+19604+10708+2233)+0)+((1292+444910+(0+0)+168222+91888+19155)+1249577))</f>
        <v>2059588</v>
      </c>
      <c r="I190" s="3">
        <f>((((2062+632316+(1589815+2351088)+201319+126416+31160)+3553882)+((0+0+(0+0)+0+0+0)+0)+((0+0+(0+0)+0+0+0)+0))-(((151+51848+(0+0)+19604+10708+2233)+0)+((1292+444910+(0+0)+168222+91888+19155)+1249577)))</f>
        <v>6428470</v>
      </c>
    </row>
    <row r="191" spans="1:9" ht="14" x14ac:dyDescent="0.3">
      <c r="A191" s="2" t="s">
        <v>17</v>
      </c>
      <c r="B191" s="3">
        <f>((12829+79441+(224949+734369)+2469+2412+12787)+0)</f>
        <v>1069256</v>
      </c>
      <c r="C191" s="3">
        <f>((0+111442+(0+0)+0+4573+0)+0)</f>
        <v>116015</v>
      </c>
      <c r="D191" s="3">
        <f>((0+0+(0+0)+0+0+0)+0)</f>
        <v>0</v>
      </c>
      <c r="E191" s="3">
        <f>(((12829+79441+(224949+734369)+2469+2412+12787)+0)+((0+111442+(0+0)+0+4573+0)+0)+((0+0+(0+0)+0+0+0)+0))</f>
        <v>1185271</v>
      </c>
      <c r="F191" s="3">
        <f>((0+0+(0+0)+0+0+0)+0)</f>
        <v>0</v>
      </c>
      <c r="G191" s="3">
        <f>((1864+22219+(0+0)+0+672+2960)+0)</f>
        <v>27715</v>
      </c>
      <c r="H191" s="3">
        <f>(((0+0+(0+0)+0+0+0)+0)+((1864+22219+(0+0)+0+672+2960)+0))</f>
        <v>27715</v>
      </c>
      <c r="I191" s="3">
        <f>((((12829+79441+(224949+734369)+2469+2412+12787)+0)+((0+111442+(0+0)+0+4573+0)+0)+((0+0+(0+0)+0+0+0)+0))-(((0+0+(0+0)+0+0+0)+0)+((1864+22219+(0+0)+0+672+2960)+0)))</f>
        <v>1157556</v>
      </c>
    </row>
    <row r="192" spans="1:9" ht="14" x14ac:dyDescent="0.3">
      <c r="A192" s="2" t="s">
        <v>18</v>
      </c>
      <c r="B192" s="3">
        <f>((8491+121754+(124977+27345)+20918+51525+7759)+347641)</f>
        <v>710410</v>
      </c>
      <c r="C192" s="3">
        <f>((0+19192+(0+0)+0+12019+0)+0)</f>
        <v>31211</v>
      </c>
      <c r="D192" s="3">
        <f>((0+0+(0+0)+0+0+0)+0)</f>
        <v>0</v>
      </c>
      <c r="E192" s="3">
        <f>(((8491+121754+(124977+27345)+20918+51525+7759)+347641)+((0+19192+(0+0)+0+12019+0)+0)+((0+0+(0+0)+0+0+0)+0))</f>
        <v>741621</v>
      </c>
      <c r="F192" s="3">
        <f>((0+22520+(0+0)+0+7334+0)+0)</f>
        <v>29854</v>
      </c>
      <c r="G192" s="3">
        <f>((6793+90755+(2608+18)+3100+44516+5742)+12302)</f>
        <v>165834</v>
      </c>
      <c r="H192" s="3">
        <f>(((0+22520+(0+0)+0+7334+0)+0)+((6793+90755+(2608+18)+3100+44516+5742)+12302))</f>
        <v>195688</v>
      </c>
      <c r="I192" s="3">
        <f>((((8491+121754+(124977+27345)+20918+51525+7759)+347641)+((0+19192+(0+0)+0+12019+0)+0)+((0+0+(0+0)+0+0+0)+0))-(((0+22520+(0+0)+0+7334+0)+0)+((6793+90755+(2608+18)+3100+44516+5742)+12302)))</f>
        <v>545933</v>
      </c>
    </row>
    <row r="193" spans="1:9" ht="14" x14ac:dyDescent="0.3">
      <c r="A193" s="2" t="s">
        <v>19</v>
      </c>
      <c r="B193" s="3">
        <f>((221910+1972564+(1419739+863108)+1392856+1299175+73319)+520454)</f>
        <v>7763125</v>
      </c>
      <c r="C193" s="3">
        <f>((0+0+(0+0)+0+0+0)+0)</f>
        <v>0</v>
      </c>
      <c r="D193" s="3">
        <f>((0+0+(0+0)+0+0+0)+0)</f>
        <v>0</v>
      </c>
      <c r="E193" s="3">
        <f>(((221910+1972564+(1419739+863108)+1392856+1299175+73319)+520454)+((0+0+(0+0)+0+0+0)+0)+((0+0+(0+0)+0+0+0)+0))</f>
        <v>7763125</v>
      </c>
      <c r="F193" s="3">
        <f>((1530+12376+(0+0)+839+10648+3327)+0)</f>
        <v>28720</v>
      </c>
      <c r="G193" s="3">
        <f>((178025+1799554+(383516+242053)+1337811+1170227+57032)+332776)</f>
        <v>5500994</v>
      </c>
      <c r="H193" s="3">
        <f>(((1530+12376+(0+0)+839+10648+3327)+0)+((178025+1799554+(383516+242053)+1337811+1170227+57032)+332776))</f>
        <v>5529714</v>
      </c>
      <c r="I193" s="3">
        <f>((((221910+1972564+(1419739+863108)+1392856+1299175+73319)+520454)+((0+0+(0+0)+0+0+0)+0)+((0+0+(0+0)+0+0+0)+0))-(((1530+12376+(0+0)+839+10648+3327)+0)+((178025+1799554+(383516+242053)+1337811+1170227+57032)+332776)))</f>
        <v>2233411</v>
      </c>
    </row>
    <row r="194" spans="1:9" ht="14" x14ac:dyDescent="0.3">
      <c r="A194" s="2" t="s">
        <v>20</v>
      </c>
      <c r="B194" s="3">
        <f>((134360+2393997+(143152+3137)+385731+297533+250955)+1018983)</f>
        <v>4627848</v>
      </c>
      <c r="C194" s="3">
        <f>((0+36757+(0+0)+0+4656+0)+0)</f>
        <v>41413</v>
      </c>
      <c r="D194" s="3">
        <f>((718+0+(0+0)+0+0+0)+0)</f>
        <v>718</v>
      </c>
      <c r="E194" s="3">
        <f>(((134360+2393997+(143152+3137)+385731+297533+250955)+1018983)+((0+36757+(0+0)+0+4656+0)+0)+((718+0+(0+0)+0+0+0)+0))</f>
        <v>4669979</v>
      </c>
      <c r="F194" s="3">
        <f>((3176+911834+(0+0)+0+49979+0)+0)</f>
        <v>964989</v>
      </c>
      <c r="G194" s="3">
        <f>((76538+1462597+(26659+0)+257806+254735+154587)+575240)</f>
        <v>2808162</v>
      </c>
      <c r="H194" s="3">
        <f>(((3176+911834+(0+0)+0+49979+0)+0)+((76538+1462597+(26659+0)+257806+254735+154587)+575240))</f>
        <v>3773151</v>
      </c>
      <c r="I194" s="3">
        <f>((((134360+2393997+(143152+3137)+385731+297533+250955)+1018983)+((0+36757+(0+0)+0+4656+0)+0)+((718+0+(0+0)+0+0+0)+0))-(((3176+911834+(0+0)+0+49979+0)+0)+((76538+1462597+(26659+0)+257806+254735+154587)+575240)))</f>
        <v>896828</v>
      </c>
    </row>
    <row r="195" spans="1:9" ht="14" x14ac:dyDescent="0.3">
      <c r="A195" s="2" t="s">
        <v>21</v>
      </c>
      <c r="B195" s="3">
        <f>((0+0+(0+0)+0+0+0)+525752)</f>
        <v>525752</v>
      </c>
      <c r="C195" s="3">
        <f>((0+0+(0+0)+0+0+0)+0)</f>
        <v>0</v>
      </c>
      <c r="D195" s="3">
        <f>((0+0+(0+0)+0+0+0)+0)</f>
        <v>0</v>
      </c>
      <c r="E195" s="3">
        <f>(((0+0+(0+0)+0+0+0)+525752)+((0+0+(0+0)+0+0+0)+0)+((0+0+(0+0)+0+0+0)+0))</f>
        <v>525752</v>
      </c>
      <c r="F195" s="3">
        <f>((0+0+(0+0)+0+0+0)+0)</f>
        <v>0</v>
      </c>
      <c r="G195" s="3">
        <f>((0+0+(0+0)+0+0+0)+0)</f>
        <v>0</v>
      </c>
      <c r="H195" s="3">
        <f>(((0+0+(0+0)+0+0+0)+0)+((0+0+(0+0)+0+0+0)+0))</f>
        <v>0</v>
      </c>
      <c r="I195" s="3">
        <f>((((0+0+(0+0)+0+0+0)+525752)+((0+0+(0+0)+0+0+0)+0)+((0+0+(0+0)+0+0+0)+0))-(((0+0+(0+0)+0+0+0)+0)+((0+0+(0+0)+0+0+0)+0)))</f>
        <v>525752</v>
      </c>
    </row>
    <row r="196" spans="1:9" ht="14" x14ac:dyDescent="0.3">
      <c r="A196" s="2" t="s">
        <v>22</v>
      </c>
      <c r="B196" s="3">
        <f>((1158605+4577781+(5338855+3169269)+1801136+2230318+1691541)+2350410)</f>
        <v>22317915</v>
      </c>
      <c r="C196" s="3">
        <f>((0+0+(0+0)+0+0+0)+0)</f>
        <v>0</v>
      </c>
      <c r="D196" s="3">
        <f>((0+0+(0+0)+0+0+0)+0)</f>
        <v>0</v>
      </c>
      <c r="E196" s="3">
        <f>(((1158605+4577781+(5338855+3169269)+1801136+2230318+1691541)+2350410)+((0+0+(0+0)+0+0+0)+0)+((0+0+(0+0)+0+0+0)+0))</f>
        <v>22317915</v>
      </c>
      <c r="F196" s="3">
        <f>((0+0+(0+0)+0+0+0)+0)</f>
        <v>0</v>
      </c>
      <c r="G196" s="3">
        <f>((1126850+4378264+(0+0)+1360869+1865998+857335)+1441996)</f>
        <v>11031312</v>
      </c>
      <c r="H196" s="3">
        <f>(((0+0+(0+0)+0+0+0)+0)+((1126850+4378264+(0+0)+1360869+1865998+857335)+1441996))</f>
        <v>11031312</v>
      </c>
      <c r="I196" s="3">
        <f>((((1158605+4577781+(5338855+3169269)+1801136+2230318+1691541)+2350410)+((0+0+(0+0)+0+0+0)+0)+((0+0+(0+0)+0+0+0)+0))-(((0+0+(0+0)+0+0+0)+0)+((1126850+4378264+(0+0)+1360869+1865998+857335)+1441996)))</f>
        <v>11286603</v>
      </c>
    </row>
    <row r="197" spans="1:9" ht="14" x14ac:dyDescent="0.3">
      <c r="A197" s="2" t="s">
        <v>23</v>
      </c>
      <c r="B197" s="3">
        <f>((149712+2159015+(103154+0)+120463+282173+35130)+398540)</f>
        <v>3248187</v>
      </c>
      <c r="C197" s="3">
        <f>((0+1061859+(0+0)+0+8486+0)+0)</f>
        <v>1070345</v>
      </c>
      <c r="D197" s="3">
        <f>((0+0+(0+0)+0+0+0)+0)</f>
        <v>0</v>
      </c>
      <c r="E197" s="3">
        <f>(((149712+2159015+(103154+0)+120463+282173+35130)+398540)+((0+1061859+(0+0)+0+8486+0)+0)+((0+0+(0+0)+0+0+0)+0))</f>
        <v>4318532</v>
      </c>
      <c r="F197" s="3">
        <f>((0+0+(0+0)+0+0+0)+0)</f>
        <v>0</v>
      </c>
      <c r="G197" s="3">
        <f>((138380+3399047+(23607+0)+(-183855)+10817+17305)+69522)</f>
        <v>3474823</v>
      </c>
      <c r="H197" s="3">
        <f>(((0+0+(0+0)+0+0+0)+0)+((138380+3399047+(23607+0)+(-183855)+10817+17305)+69522))</f>
        <v>3474823</v>
      </c>
      <c r="I197" s="3">
        <f>((((149712+2159015+(103154+0)+120463+282173+35130)+398540)+((0+1061859+(0+0)+0+8486+0)+0)+((0+0+(0+0)+0+0+0)+0))-(((0+0+(0+0)+0+0+0)+0)+((138380+3399047+(23607+0)+(-183855)+10817+17305)+69522)))</f>
        <v>843709</v>
      </c>
    </row>
    <row r="198" spans="1:9" ht="14" x14ac:dyDescent="0.3">
      <c r="A198" s="2" t="s">
        <v>24</v>
      </c>
      <c r="B198" s="3">
        <f>((50186+462928+(2029046+1682048)+323895+336884+100494)+738537)</f>
        <v>5724018</v>
      </c>
      <c r="C198" s="3">
        <f>((0+0+(0+0)+0+0+0)+0)</f>
        <v>0</v>
      </c>
      <c r="D198" s="3">
        <f>((0+0+(0+0)+0+0+0)+0)</f>
        <v>0</v>
      </c>
      <c r="E198" s="3">
        <f>(((50186+462928+(2029046+1682048)+323895+336884+100494)+738537)+((0+0+(0+0)+0+0+0)+0)+((0+0+(0+0)+0+0+0)+0))</f>
        <v>5724018</v>
      </c>
      <c r="F198" s="3">
        <f>((0+33800+(0+0)+0+8106+0)+0)</f>
        <v>41906</v>
      </c>
      <c r="G198" s="3">
        <f>((46576+406886+(612279+504614)+276058+304062+89070)+567169)</f>
        <v>2806714</v>
      </c>
      <c r="H198" s="3">
        <f>(((0+33800+(0+0)+0+8106+0)+0)+((46576+406886+(612279+504614)+276058+304062+89070)+567169))</f>
        <v>2848620</v>
      </c>
      <c r="I198" s="3">
        <f>((((50186+462928+(2029046+1682048)+323895+336884+100494)+738537)+((0+0+(0+0)+0+0+0)+0)+((0+0+(0+0)+0+0+0)+0))-(((0+33800+(0+0)+0+8106+0)+0)+((46576+406886+(612279+504614)+276058+304062+89070)+567169)))</f>
        <v>2875398</v>
      </c>
    </row>
    <row r="199" spans="1:9" ht="14" x14ac:dyDescent="0.3">
      <c r="A199" s="2" t="s">
        <v>25</v>
      </c>
      <c r="B199" s="3">
        <f>((42458+2150010+(3528456+6404316)+170780+1273315+149604)+9401524)</f>
        <v>23120463</v>
      </c>
      <c r="C199" s="3">
        <f>((0+0+(0+0)+0+0+0)+0)</f>
        <v>0</v>
      </c>
      <c r="D199" s="3">
        <f>((0+0+(0+0)+0+0+0)+0)</f>
        <v>0</v>
      </c>
      <c r="E199" s="3">
        <f>(((42458+2150010+(3528456+6404316)+170780+1273315+149604)+9401524)+((0+0+(0+0)+0+0+0)+0)+((0+0+(0+0)+0+0+0)+0))</f>
        <v>23120463</v>
      </c>
      <c r="F199" s="3">
        <f>((0+0+(0+0)+0+0+0)+0)</f>
        <v>0</v>
      </c>
      <c r="G199" s="3">
        <f>((104889+1437825+(178726+0)+9629+438665+115866)+0)</f>
        <v>2285600</v>
      </c>
      <c r="H199" s="3">
        <f>(((0+0+(0+0)+0+0+0)+0)+((104889+1437825+(178726+0)+9629+438665+115866)+0))</f>
        <v>2285600</v>
      </c>
      <c r="I199" s="3">
        <f>((((42458+2150010+(3528456+6404316)+170780+1273315+149604)+9401524)+((0+0+(0+0)+0+0+0)+0)+((0+0+(0+0)+0+0+0)+0))-(((0+0+(0+0)+0+0+0)+0)+((104889+1437825+(178726+0)+9629+438665+115866)+0)))</f>
        <v>20834863</v>
      </c>
    </row>
    <row r="200" spans="1:9" ht="14" x14ac:dyDescent="0.3">
      <c r="A200" s="2" t="s">
        <v>26</v>
      </c>
      <c r="B200" s="3">
        <f>((82709+432264+(2887935+(-3333))+279607+245862+294985)+1442851)</f>
        <v>5662880</v>
      </c>
      <c r="C200" s="3">
        <f>((7149+12510+(0+0)+0+10055+3989)+0)</f>
        <v>33703</v>
      </c>
      <c r="D200" s="3">
        <f>((0+0+(0+0)+0+0+0)+0)</f>
        <v>0</v>
      </c>
      <c r="E200" s="3">
        <f>(((82709+432264+(2887935+(-3333))+279607+245862+294985)+1442851)+((7149+12510+(0+0)+0+10055+3989)+0)+((0+0+(0+0)+0+0+0)+0))</f>
        <v>5696583</v>
      </c>
      <c r="F200" s="3">
        <f>((0+0+(0+0)+0+0+0)+0)</f>
        <v>0</v>
      </c>
      <c r="G200" s="3">
        <f>((3377+178780+(826+0)+108308+138420+11427)+30490)</f>
        <v>471628</v>
      </c>
      <c r="H200" s="3">
        <f>(((0+0+(0+0)+0+0+0)+0)+((3377+178780+(826+0)+108308+138420+11427)+30490))</f>
        <v>471628</v>
      </c>
      <c r="I200" s="3">
        <f>((((82709+432264+(2887935+(-3333))+279607+245862+294985)+1442851)+((7149+12510+(0+0)+0+10055+3989)+0)+((0+0+(0+0)+0+0+0)+0))-(((0+0+(0+0)+0+0+0)+0)+((3377+178780+(826+0)+108308+138420+11427)+30490)))</f>
        <v>5224955</v>
      </c>
    </row>
  </sheetData>
  <mergeCells count="20">
    <mergeCell ref="A121:I121"/>
    <mergeCell ref="A141:I141"/>
    <mergeCell ref="A161:I161"/>
    <mergeCell ref="A181:I181"/>
    <mergeCell ref="A122:A123"/>
    <mergeCell ref="A142:A143"/>
    <mergeCell ref="A162:A163"/>
    <mergeCell ref="A182:A183"/>
    <mergeCell ref="A1:I1"/>
    <mergeCell ref="A21:I21"/>
    <mergeCell ref="A41:I41"/>
    <mergeCell ref="A61:I61"/>
    <mergeCell ref="A81:I81"/>
    <mergeCell ref="A101:I10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2025-05-28T05:59:00Z</dcterms:created>
  <dcterms:modified xsi:type="dcterms:W3CDTF">2025-05-28T05:59:04Z</dcterms:modified>
</cp:coreProperties>
</file>